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70" activeTab="1"/>
  </bookViews>
  <sheets>
    <sheet name="FIN-DATA" sheetId="1" r:id="rId1"/>
    <sheet name="INDICATORS" sheetId="2" r:id="rId2"/>
    <sheet name="PROJECTIONS" sheetId="3" r:id="rId3"/>
    <sheet name="SUPPLEMENTARY" sheetId="4" r:id="rId4"/>
  </sheets>
  <definedNames>
    <definedName name="Name1">'FIN-DATA'!$A$5</definedName>
    <definedName name="Name2">'FIN-DATA'!$B$5</definedName>
    <definedName name="_xlnm.Print_Area" localSheetId="0">'FIN-DATA'!$A$1:$E$386</definedName>
    <definedName name="_xlnm.Print_Area" localSheetId="1">'INDICATORS'!$A$1:$C$228</definedName>
    <definedName name="_xlnm.Print_Area" localSheetId="2">'PROJECTIONS'!$A$1:$C$71</definedName>
    <definedName name="_xlnm.Print_Titles" localSheetId="0">'FIN-DATA'!$8:$9</definedName>
    <definedName name="_xlnm.Print_Titles" localSheetId="1">'INDICATORS'!$1:$5</definedName>
    <definedName name="_xlnm.Print_Titles" localSheetId="2">'PROJECTIONS'!$1:$4</definedName>
  </definedNames>
  <calcPr fullCalcOnLoad="1"/>
</workbook>
</file>

<file path=xl/sharedStrings.xml><?xml version="1.0" encoding="utf-8"?>
<sst xmlns="http://schemas.openxmlformats.org/spreadsheetml/2006/main" count="831" uniqueCount="550">
  <si>
    <t>INCOME STATEMENT</t>
  </si>
  <si>
    <t>Fees - Formal Tuition &amp; Related</t>
  </si>
  <si>
    <t>Sales - Goods &amp; Services</t>
  </si>
  <si>
    <t>Private Gifts &amp; Grants - General Purposes</t>
  </si>
  <si>
    <t>Private Gifts &amp; Grants - Specified Purposes</t>
  </si>
  <si>
    <t>EXPENDITURES</t>
  </si>
  <si>
    <t>Other Current Operating Costs</t>
  </si>
  <si>
    <t>Capital Expenditure Expensed</t>
  </si>
  <si>
    <t>Personnel Compensation</t>
  </si>
  <si>
    <t>LIABILITIES</t>
  </si>
  <si>
    <t>ASSETS</t>
  </si>
  <si>
    <t xml:space="preserve">                     Receivables</t>
  </si>
  <si>
    <t>(Current Assets - Inventories)/Current Liabilities</t>
  </si>
  <si>
    <t>INVESTMENTS (Quoted)</t>
  </si>
  <si>
    <t>INVESTMENTS (UNQUOTED)</t>
  </si>
  <si>
    <t>INCOME (SPECIFICALLY FUNDED ACTIVITIES)</t>
  </si>
  <si>
    <t>EXPENDITURE (EDUCATION &amp; GENERAL)</t>
  </si>
  <si>
    <t>EXPENDITURE (SPECIFICALLY FUNDED ACTIVITIES)</t>
  </si>
  <si>
    <t>ACTUAL</t>
  </si>
  <si>
    <t>RECURRENT</t>
  </si>
  <si>
    <t>NON-RECURRENT</t>
  </si>
  <si>
    <t>Contract Income - Research</t>
  </si>
  <si>
    <t>INCOME (STUDENT/STAFF ACCOMMODATION)</t>
  </si>
  <si>
    <t>EXPENDITURE (STUDENT/STAFF ACCOMMODATION)</t>
  </si>
  <si>
    <t xml:space="preserve">   Recurrent</t>
  </si>
  <si>
    <t>PERFORMANCE/STATUS INDICATORS FROM TECHNIKONS &amp; UNIVERSITIES</t>
  </si>
  <si>
    <t>STUDENT &amp; STAFF ACCOMMODATION</t>
  </si>
  <si>
    <t>Hospitals</t>
  </si>
  <si>
    <t>Independent Operations (HEMIS definition)</t>
  </si>
  <si>
    <t>Bursaries &amp; Scholarships (institution funded)</t>
  </si>
  <si>
    <t>Cash retained/utilised(-)/Cash Balance (beginning of year) [CashFlow Statement]</t>
  </si>
  <si>
    <t>FINAL BUDGET</t>
  </si>
  <si>
    <t>Student debt written off and/or provided as irrecoverable</t>
  </si>
  <si>
    <t>Other operating expenditures (incl. depreciation &amp; other provisions)</t>
  </si>
  <si>
    <t>SPECIFICALLY FUNDED ACTIVITIES</t>
  </si>
  <si>
    <t>BALANCE SHEET - FOR REPORTING YEAR ONLY</t>
  </si>
  <si>
    <t>Current Liabilities/Total Liabilities</t>
  </si>
  <si>
    <t>PPE(carrying value)/Total Assets(carrying value)</t>
  </si>
  <si>
    <t>Current Assets (carrying value)/Total Assets (carrying value)</t>
  </si>
  <si>
    <t>LIQUIDITY (based on carrying values unless otherwise stated)</t>
  </si>
  <si>
    <t>Provision for irrecoverable student debt/Total student debt outstanding</t>
  </si>
  <si>
    <t>Outsourced contract costs for:</t>
  </si>
  <si>
    <t xml:space="preserve">   Security</t>
  </si>
  <si>
    <t xml:space="preserve">   Cleaning</t>
  </si>
  <si>
    <t xml:space="preserve">   Grounds &amp; gardens</t>
  </si>
  <si>
    <t xml:space="preserve">   Information Technology and computer services</t>
  </si>
  <si>
    <t xml:space="preserve">   Catering</t>
  </si>
  <si>
    <t>&lt;--------PROJECTIONS------&gt;</t>
  </si>
  <si>
    <t>Investment Income - Interest, Dividends etc. - General Purposes</t>
  </si>
  <si>
    <t>Investment Income - Interest, Dividends etc. - Specified Purposes</t>
  </si>
  <si>
    <t>Fees - Accommodation</t>
  </si>
  <si>
    <t>Fees - Other incl. Short informal courses</t>
  </si>
  <si>
    <t xml:space="preserve">                             Other</t>
  </si>
  <si>
    <t xml:space="preserve">                     Investments - Marketable securities</t>
  </si>
  <si>
    <t xml:space="preserve">                                            Other              </t>
  </si>
  <si>
    <t>STUDENT SERVICES</t>
  </si>
  <si>
    <t>HOSPITALS</t>
  </si>
  <si>
    <t>INDEPENDENT OPERATIONS</t>
  </si>
  <si>
    <t>SUPPLEMENTARY FINANCIAL DATA FROM TECHNIKONS &amp; UNIVERSITIES</t>
  </si>
  <si>
    <t>ACTIVITIES</t>
  </si>
  <si>
    <t>PERSONNEL</t>
  </si>
  <si>
    <t>SUPPLIES</t>
  </si>
  <si>
    <t>COST OF</t>
  </si>
  <si>
    <t>FIXED</t>
  </si>
  <si>
    <t>EQUIPMENT</t>
  </si>
  <si>
    <t>COST</t>
  </si>
  <si>
    <t>&amp;</t>
  </si>
  <si>
    <t>SERVICES</t>
  </si>
  <si>
    <t>PROPERTIES</t>
  </si>
  <si>
    <t>COSTS INCL.</t>
  </si>
  <si>
    <t xml:space="preserve">OF ITEMS </t>
  </si>
  <si>
    <t>OUTSOURCED</t>
  </si>
  <si>
    <t>COST INCL.</t>
  </si>
  <si>
    <t>DEPREC'ION</t>
  </si>
  <si>
    <t>BURSARIES</t>
  </si>
  <si>
    <t>ACQUIRED</t>
  </si>
  <si>
    <t>RENTAL</t>
  </si>
  <si>
    <t>&amp; CAPEX</t>
  </si>
  <si>
    <t>FOR</t>
  </si>
  <si>
    <t>EXPENSED</t>
  </si>
  <si>
    <t>RE-SALE</t>
  </si>
  <si>
    <t>TOTAL</t>
  </si>
  <si>
    <t xml:space="preserve">CARRYING </t>
  </si>
  <si>
    <t>MARKET</t>
  </si>
  <si>
    <t xml:space="preserve">COST OF </t>
  </si>
  <si>
    <t>DISPOSALS/</t>
  </si>
  <si>
    <t>SURPLUS/</t>
  </si>
  <si>
    <t>INCREASE/</t>
  </si>
  <si>
    <t>CARRYING</t>
  </si>
  <si>
    <t>MARKET/EST.</t>
  </si>
  <si>
    <t xml:space="preserve">VALUE AT </t>
  </si>
  <si>
    <t>VALUE AT</t>
  </si>
  <si>
    <t xml:space="preserve">ADDITIONS </t>
  </si>
  <si>
    <t>WRITE-OFFS</t>
  </si>
  <si>
    <t>DEFICIT</t>
  </si>
  <si>
    <t>REALISABLE</t>
  </si>
  <si>
    <t xml:space="preserve">INCOME </t>
  </si>
  <si>
    <t>START OF</t>
  </si>
  <si>
    <t xml:space="preserve">DURING </t>
  </si>
  <si>
    <t>DURING</t>
  </si>
  <si>
    <t xml:space="preserve">ON </t>
  </si>
  <si>
    <t>IN MARKET</t>
  </si>
  <si>
    <t>END OF</t>
  </si>
  <si>
    <t>RECEIVED</t>
  </si>
  <si>
    <t>YEAR</t>
  </si>
  <si>
    <t>DISPOSALS</t>
  </si>
  <si>
    <t>VALUE</t>
  </si>
  <si>
    <t>YEAR END</t>
  </si>
  <si>
    <t>NON-CURRENT INVESTMENTS</t>
  </si>
  <si>
    <t xml:space="preserve">  MUNICIPAL STOCK</t>
  </si>
  <si>
    <t xml:space="preserve">  SHARES (LISTED)</t>
  </si>
  <si>
    <t xml:space="preserve">  SHARES (UNLISTED)</t>
  </si>
  <si>
    <t xml:space="preserve">  MONEY MARKET DEPOSITS</t>
  </si>
  <si>
    <t>CURRENT INVESTMENTS</t>
  </si>
  <si>
    <t xml:space="preserve">  OTHER (LISTED) - SPECIFY</t>
  </si>
  <si>
    <t xml:space="preserve">  OTHER (UNLISTED) - SPECIFY</t>
  </si>
  <si>
    <t>OUTSTANDING</t>
  </si>
  <si>
    <t>AMOUNT</t>
  </si>
  <si>
    <t>TYPE</t>
  </si>
  <si>
    <t>AT START</t>
  </si>
  <si>
    <t>AT END</t>
  </si>
  <si>
    <t xml:space="preserve">PAYABLE </t>
  </si>
  <si>
    <t>OF YEAR</t>
  </si>
  <si>
    <t>WITHIN</t>
  </si>
  <si>
    <t>ONE YEAR</t>
  </si>
  <si>
    <t>STATE LOANS RECEIVED</t>
  </si>
  <si>
    <t>PRIVATE LOANS RECEIVED</t>
  </si>
  <si>
    <t xml:space="preserve">  BANKING INSTITUTIONS - OVERDRAFT</t>
  </si>
  <si>
    <t xml:space="preserve">  PENSION &amp; PROVIDENT FUNDS</t>
  </si>
  <si>
    <t xml:space="preserve">  INSURERS</t>
  </si>
  <si>
    <t>Contract income/ Total column income</t>
  </si>
  <si>
    <t>Fee income/Total column income</t>
  </si>
  <si>
    <t>Investment income/Total column income</t>
  </si>
  <si>
    <t>State appropriations &amp; grants/Total column income</t>
  </si>
  <si>
    <t>Total gifts &amp; grants/Total column Income</t>
  </si>
  <si>
    <t>Surplus (+)/Deficit(-)/Total column income</t>
  </si>
  <si>
    <t xml:space="preserve">  Non-recurrent  </t>
  </si>
  <si>
    <t>as %</t>
  </si>
  <si>
    <t xml:space="preserve">   Maintenance</t>
  </si>
  <si>
    <t>Non recurrent expenditure expensed</t>
  </si>
  <si>
    <t>Total loan indebtedness outstanding</t>
  </si>
  <si>
    <t xml:space="preserve">     Finance costs</t>
  </si>
  <si>
    <t>EDUCATION AND GENERAL - council controlled</t>
  </si>
  <si>
    <t>EDUCATION AND GENERAL - specifically funded</t>
  </si>
  <si>
    <t>TOTAL INCOME STUDENT &amp; STAFF ACCOMMODATION</t>
  </si>
  <si>
    <t>Other</t>
  </si>
  <si>
    <t xml:space="preserve">     Other</t>
  </si>
  <si>
    <t>NON-CURRENT LIABILITIES</t>
  </si>
  <si>
    <t>CURRENT LIABILITIES</t>
  </si>
  <si>
    <t>State Appropriations - General Purposes</t>
  </si>
  <si>
    <t>State Appropriations - Special Purposes</t>
  </si>
  <si>
    <t>Fee Income ((n+1)-(n))/(n)</t>
  </si>
  <si>
    <t xml:space="preserve">                  ((n+2)-(n+1))/(n+1)</t>
  </si>
  <si>
    <t>Other income ((n+1)-(n))/(n)</t>
  </si>
  <si>
    <t xml:space="preserve">                    ((n+2)-(n+1))/(n+1)</t>
  </si>
  <si>
    <t xml:space="preserve">Income </t>
  </si>
  <si>
    <t>State appropriations ((n+1)-(n))/(n)</t>
  </si>
  <si>
    <t xml:space="preserve">                              ((n+2)-(n+1))/(n+1)</t>
  </si>
  <si>
    <t>Expenditure</t>
  </si>
  <si>
    <t>Personnel cost ((n+1)-(n))/(n)</t>
  </si>
  <si>
    <t xml:space="preserve">                       ((n+2)-(n+1))/(n+1)</t>
  </si>
  <si>
    <t>Other costs ((n+1)-(n))/(n)</t>
  </si>
  <si>
    <t>Student/staff accommodation</t>
  </si>
  <si>
    <t>Bursaries &amp; scholarships - institution funded ((n+1)-(n))/(n)</t>
  </si>
  <si>
    <t xml:space="preserve">                                                                 ((n+2)-(n+1))/(n+1)</t>
  </si>
  <si>
    <t>Student debt written off ((n+1)-(n))/(n)</t>
  </si>
  <si>
    <t xml:space="preserve">                                  ((n+2)-(n+1))/(n+1)</t>
  </si>
  <si>
    <t xml:space="preserve">                                                                        ((n+2)-(n+1))/(n+1)</t>
  </si>
  <si>
    <t>Aggregate student debt (Current &amp; loans) ((n+1)-(n))/(n)</t>
  </si>
  <si>
    <t xml:space="preserve">                                                             ((n+2)-(n+1))/(n+1)</t>
  </si>
  <si>
    <t>Cash &amp; cash equivalents (Cash flow) ((n+1)-(n))/(n)</t>
  </si>
  <si>
    <t xml:space="preserve">                                                      ((n+2)-(n+1))/(n+1)</t>
  </si>
  <si>
    <t>CASH &amp; CASH EQUIVALENTS (CASHFLOW) - YEAR-END BALANCE</t>
  </si>
  <si>
    <t>Finance costs</t>
  </si>
  <si>
    <t>EDUCATION &amp; GENERAL</t>
  </si>
  <si>
    <t>INCOME (UNRESTRICTED - COUNCIL CONTROLLED)</t>
  </si>
  <si>
    <t>TOTAL INCOME EDUC. &amp;  GEN. - Council controlled</t>
  </si>
  <si>
    <t>TOTAL INCOME EDUC. &amp; GEN. - Specified Purposes</t>
  </si>
  <si>
    <t>TOTAL INCOME EDUCATION &amp; GENERAL</t>
  </si>
  <si>
    <t>Unrestricted use income - Endowment &amp; Trust Funds - Education &amp; general</t>
  </si>
  <si>
    <t>Restricted use funds reserves - Residences</t>
  </si>
  <si>
    <t xml:space="preserve">                                                  - Endowment &amp; Trust Funds</t>
  </si>
  <si>
    <t xml:space="preserve">                                                  - Education &amp; general</t>
  </si>
  <si>
    <t xml:space="preserve">                                        - Reserves</t>
  </si>
  <si>
    <t>Unrestricted + Council Designated Funds ( General)/Total Funds</t>
  </si>
  <si>
    <t>Staff indebtedness - loans and other</t>
  </si>
  <si>
    <t>Income (unrestricted)/((Income (unrestricted) + income (specific activities))</t>
  </si>
  <si>
    <t>Amount of provision for irrecoverable student debt</t>
  </si>
  <si>
    <t>Student debt written off and/or adjustment to amount provided</t>
  </si>
  <si>
    <t>Other income/Total column income</t>
  </si>
  <si>
    <t>Institution</t>
  </si>
  <si>
    <t>NSFAS</t>
  </si>
  <si>
    <t>(Total compensation, incl. All benefits)/FTE staff numbers for respective category)</t>
  </si>
  <si>
    <t>Categories:</t>
  </si>
  <si>
    <t xml:space="preserve">   Specialist support</t>
  </si>
  <si>
    <t xml:space="preserve">   Technical support</t>
  </si>
  <si>
    <t xml:space="preserve">   Non-professional administrative</t>
  </si>
  <si>
    <t xml:space="preserve">   Service</t>
  </si>
  <si>
    <t xml:space="preserve">   Other</t>
  </si>
  <si>
    <t>CASH &amp; CASH EQUIVALENTS (CASHFLOW) - CHANGE</t>
  </si>
  <si>
    <t>Total Liabilities/(Total Funds + Total Liabilities)</t>
  </si>
  <si>
    <t>Non-current Investments (carrying value)/Total Assets (carrying value)</t>
  </si>
  <si>
    <t>Non-current receivables/Total Assets (carrying value)</t>
  </si>
  <si>
    <t xml:space="preserve">   Personnel</t>
  </si>
  <si>
    <t xml:space="preserve">   Supplies and Services</t>
  </si>
  <si>
    <t xml:space="preserve">   Cost of outsourced services</t>
  </si>
  <si>
    <t xml:space="preserve">   Fixed property costs including rentals</t>
  </si>
  <si>
    <t xml:space="preserve">   Equipment costs including depreciation, maintenance and CAPEX expensed</t>
  </si>
  <si>
    <t xml:space="preserve">   Bursaries</t>
  </si>
  <si>
    <t xml:space="preserve">  Cost of goods acquired for re-sale</t>
  </si>
  <si>
    <t>Operation &amp; maintenance of real estate and plant</t>
  </si>
  <si>
    <t>Institutional support</t>
  </si>
  <si>
    <t xml:space="preserve">  Other</t>
  </si>
  <si>
    <t>Sales of goods &amp; services/Total column income</t>
  </si>
  <si>
    <t>Non-recurrent - Proceeds of or Profit on sale of assets/Total column income</t>
  </si>
  <si>
    <t>Non-recurrent - Other/Total column income</t>
  </si>
  <si>
    <t>Ratios or %</t>
  </si>
  <si>
    <t xml:space="preserve">Expressed </t>
  </si>
  <si>
    <t>In R'000s</t>
  </si>
  <si>
    <t>Total sales goods &amp; services/Total column income</t>
  </si>
  <si>
    <t>Non recurrent expenditure expensed incl. Additional Depreciation</t>
  </si>
  <si>
    <t xml:space="preserve">INSTRUCTION, RESEARCH, COMMUNITY </t>
  </si>
  <si>
    <t>INSTITUTIONAL SUPPORT *</t>
  </si>
  <si>
    <t>Expenditure by activity as a % of Grand Total</t>
  </si>
  <si>
    <t>Student services</t>
  </si>
  <si>
    <t xml:space="preserve">   Goods &amp; services</t>
  </si>
  <si>
    <t xml:space="preserve">  Recurrent</t>
  </si>
  <si>
    <t>Non-Recurrent</t>
  </si>
  <si>
    <t xml:space="preserve">   Additional Depreciation</t>
  </si>
  <si>
    <t xml:space="preserve">   Capital items expensed</t>
  </si>
  <si>
    <t>Aggregate Other Expenditure</t>
  </si>
  <si>
    <t xml:space="preserve">    Finance costs</t>
  </si>
  <si>
    <t>CHAPTER 6.2</t>
  </si>
  <si>
    <t>Capital Expenditure Capitalised - Other</t>
  </si>
  <si>
    <t>Capital Expenditure - Land &amp; Buildings</t>
  </si>
  <si>
    <t>Capital Expenditure - Non-Current Investments</t>
  </si>
  <si>
    <t>Proceeds disposal - Non-current assets - Land &amp; Buildings</t>
  </si>
  <si>
    <t>Proceeds disposal - Non-current assets - Other</t>
  </si>
  <si>
    <t>(Current Assets - Inventories - Current Liabilities)/Monthly Payroll *------------------------&gt;</t>
  </si>
  <si>
    <t>NOTE: Calculations computed automatically except those marked '*'-------&gt;</t>
  </si>
  <si>
    <t>Staff Compensation by category *---------------------------------------------------------&gt;</t>
  </si>
  <si>
    <t xml:space="preserve">   Academic professional</t>
  </si>
  <si>
    <t xml:space="preserve">   Non-recurrent including extraordinary items &amp; additional depreciation</t>
  </si>
  <si>
    <t xml:space="preserve">Capitalisation level (computed according to the formula) </t>
  </si>
  <si>
    <t xml:space="preserve">Non-current Investments (market value)/Non-current Investments (carrying value) </t>
  </si>
  <si>
    <t>TOTAL INCOME - EDUC. &amp; GEN;  SPECIFIED PURPOSES; ACCOMM.</t>
  </si>
  <si>
    <t xml:space="preserve">                                           Deposits with Public Investment Commissioners</t>
  </si>
  <si>
    <t>Bursaries (outside funded)[if ascertainable] (Amount in R'000s)*-------------------------&gt;</t>
  </si>
  <si>
    <t>Off balance sheet liabilities</t>
  </si>
  <si>
    <t xml:space="preserve">    Depreciation including Additional </t>
  </si>
  <si>
    <t xml:space="preserve">Recurrent Operating Costs </t>
  </si>
  <si>
    <t>Depreciation incl. Additional</t>
  </si>
  <si>
    <t xml:space="preserve">     Depreciation Provision incl. Additional</t>
  </si>
  <si>
    <t xml:space="preserve">   Recurrent (excluding Outsourced, Bursaries &amp; Debt write offs)</t>
  </si>
  <si>
    <t>Personnel Costs  - Recurrent</t>
  </si>
  <si>
    <t>Personnel Costs  - Non Recurrent</t>
  </si>
  <si>
    <t xml:space="preserve">   Academic staff (Permanent)</t>
  </si>
  <si>
    <t xml:space="preserve">   Academic staff (Fixed-term)</t>
  </si>
  <si>
    <t xml:space="preserve">   Library Other staff</t>
  </si>
  <si>
    <t xml:space="preserve">   Information Technology &amp; Computer support staff</t>
  </si>
  <si>
    <t xml:space="preserve">   Other personnel (Full-time, Part-time)</t>
  </si>
  <si>
    <t>Personnel Costs - Non-Recurrent (Cost to Employer)</t>
  </si>
  <si>
    <t>FUNDS &amp; LIABILITIES</t>
  </si>
  <si>
    <t>FUNDS</t>
  </si>
  <si>
    <t>Student Fee debt (year n)/all student fees (year n) *-----------------------------------------&gt;</t>
  </si>
  <si>
    <t>Student Fee debt (year n-1)/all student fees (year n-1) *------------------------------------&gt;</t>
  </si>
  <si>
    <t>Student Fee debt (year n-(&gt;1))/all student fees (year n-(&gt;1)) *-----------------------------&gt;</t>
  </si>
  <si>
    <t>Disposal of expensed equipment</t>
  </si>
  <si>
    <t>Personnel compensation inc. all benefits - Academic staff</t>
  </si>
  <si>
    <t>First Qualification</t>
  </si>
  <si>
    <t>Higher Qualification</t>
  </si>
  <si>
    <t>Students - First Qualification</t>
  </si>
  <si>
    <t>Students - Higher Qualification</t>
  </si>
  <si>
    <t>Proceeds disposal - Non-current Investments</t>
  </si>
  <si>
    <t xml:space="preserve">              Cash &amp; cash equivalents</t>
  </si>
  <si>
    <t>Expressed</t>
  </si>
  <si>
    <t xml:space="preserve">Current Assets/Current Liabilities </t>
  </si>
  <si>
    <t>Personnel cost /(Total subsidy + tuition fees)</t>
  </si>
  <si>
    <t>Aggregate Expenditure/Total  Income</t>
  </si>
  <si>
    <t>Instruction, Research Community Services</t>
  </si>
  <si>
    <t>Bursaries &amp; scholarships - outside funded  ((n+1)-(n))/(n)</t>
  </si>
  <si>
    <t>TYPE OF INVESTMENT</t>
  </si>
  <si>
    <t>* Support includes managerial, administrative, secretarial and technical activities and professional services</t>
  </si>
  <si>
    <t>R'000s</t>
  </si>
  <si>
    <t>State Appropriations specified purposes</t>
  </si>
  <si>
    <t xml:space="preserve">                              Other</t>
  </si>
  <si>
    <t>Students - First qualification</t>
  </si>
  <si>
    <t xml:space="preserve">               Receivables</t>
  </si>
  <si>
    <t xml:space="preserve">               Investments - Marketable securities</t>
  </si>
  <si>
    <t xml:space="preserve">                                     Deposits with Public Investment Commissioners</t>
  </si>
  <si>
    <t xml:space="preserve">                                     Other              </t>
  </si>
  <si>
    <t xml:space="preserve">               Provision for employment/post-employment benefits/obligations</t>
  </si>
  <si>
    <t xml:space="preserve">               Deposits held</t>
  </si>
  <si>
    <t xml:space="preserve">               Other</t>
  </si>
  <si>
    <t>Unrestricted + Council Designated (Endowment and Trusts)/Total Funds</t>
  </si>
  <si>
    <t>Estimated realisable value/Cost *----------------------------------------------------------------&gt;</t>
  </si>
  <si>
    <t>Total Income/Estimated realisable value *-------------------------------------------------------&gt;</t>
  </si>
  <si>
    <t>Finance costs/Total column income</t>
  </si>
  <si>
    <t>Hospitals expenditure/Total column income</t>
  </si>
  <si>
    <t>Independent Operations expenditure/Total column income</t>
  </si>
  <si>
    <t xml:space="preserve">(Marketvalue(year n) )-(marketvalue(year n-1) </t>
  </si>
  <si>
    <t xml:space="preserve">((Marketvalue(year n)-(marketvalue(year n-1))/(Marketvalue (year n-1) </t>
  </si>
  <si>
    <t>Income (dividends+interest)/ Average Annual Marketvalue (computed quarterly) *-----&gt;</t>
  </si>
  <si>
    <t>Personnel cost /Total column income</t>
  </si>
  <si>
    <t>Current operating costs[exc.additional deprec.&amp; capex.]/Total column income</t>
  </si>
  <si>
    <t>Other expenditure/Total column income</t>
  </si>
  <si>
    <t>(Capital expenditure + Additional Depreciation)/Total column income</t>
  </si>
  <si>
    <t>Current operating costs[exc.additional deprec. &amp; capex.]/Total column income</t>
  </si>
  <si>
    <t xml:space="preserve"> Academic staff (Permanent)/Total (all columns) Expenditure</t>
  </si>
  <si>
    <t xml:space="preserve"> Academic staff (Fixed-term)/Total (all columns) Expenditure</t>
  </si>
  <si>
    <r>
      <t xml:space="preserve"> </t>
    </r>
    <r>
      <rPr>
        <sz val="8"/>
        <rFont val="Arial"/>
        <family val="2"/>
      </rPr>
      <t>Library Professional staff/Total (all columns) Expenditure</t>
    </r>
  </si>
  <si>
    <t xml:space="preserve"> Library Other staff/Total (all columns) Expenditure</t>
  </si>
  <si>
    <t xml:space="preserve"> Information Technology &amp; Computer support staff/Total (all columns) Expenditure</t>
  </si>
  <si>
    <t xml:space="preserve"> Other personnel (Full-time, Part-time)/Total (all columns) Expenditure</t>
  </si>
  <si>
    <t xml:space="preserve"> Retrenchment costs/Total (all columns) Expenditure</t>
  </si>
  <si>
    <t xml:space="preserve"> Accum. Leave/Post-retirement Benefits [Prior years]/Total (all columns) Expenditure</t>
  </si>
  <si>
    <t xml:space="preserve">   Security/Total (all columns) Expenditure</t>
  </si>
  <si>
    <t xml:space="preserve">   Cleaning/Total (all columns) Expenditure</t>
  </si>
  <si>
    <t xml:space="preserve">   Grounds &amp; gardens/Total(all columns) Expenditure</t>
  </si>
  <si>
    <t xml:space="preserve">   Catering/Total (all columns) Expenditure</t>
  </si>
  <si>
    <t xml:space="preserve">   Information Technology and computer services/Total (all columns) Expenditure</t>
  </si>
  <si>
    <t xml:space="preserve">   Maintenance/Total (all columns) Expenditure</t>
  </si>
  <si>
    <t xml:space="preserve">   Other/Total (all columns) Expenditure</t>
  </si>
  <si>
    <t xml:space="preserve">     Depreciation Provision/Total (all columns) Expenditure</t>
  </si>
  <si>
    <t xml:space="preserve">     Non-recurrent/ Total (all columns) Expenditure</t>
  </si>
  <si>
    <t xml:space="preserve">  Higher Qualification/Total student fee Income</t>
  </si>
  <si>
    <t xml:space="preserve">  First Qualification/Total student fee Income</t>
  </si>
  <si>
    <t xml:space="preserve">Personnel compensation inc. all benefits - Other staff </t>
  </si>
  <si>
    <t>CASH &amp; CASH EQUIVALENTS (CASHFLOW) - YEAR-BEGINNING BALANCE</t>
  </si>
  <si>
    <t>Student debt - Fees, Loans &amp; Other (before any provisions)</t>
  </si>
  <si>
    <t>% Academic staff per FTE/Total cost per FTE</t>
  </si>
  <si>
    <t>TOTAL Expenditure Education &amp; General (as per Income Statement)</t>
  </si>
  <si>
    <t>TOTAL Expenditure Specifically Funded Activities (as per Inc.Stat.)</t>
  </si>
  <si>
    <t>TOTAL Expenditure Student/Staff Accommodation (as per Inc. Stat)</t>
  </si>
  <si>
    <t>TOTAL Expenditure all activities (as per Income Statement)</t>
  </si>
  <si>
    <t xml:space="preserve">SURPLUS/DEFICIT ALL ACTIVITIES ( as per Income Statement) </t>
  </si>
  <si>
    <t>Net Transfers - Funds not expended(-)/ Expen. Funded from prior year income(+)</t>
  </si>
  <si>
    <t>Restricted &amp; Administered Funds (Residences)/Total Funds</t>
  </si>
  <si>
    <t>Restricted &amp; Administered Funds (Student loans)/Total Funds</t>
  </si>
  <si>
    <t>Restricted &amp; Administered Funds (Endowment and Trusts)/Total Funds</t>
  </si>
  <si>
    <t>Restricted &amp; Administered Funds (Other)/Total Funds</t>
  </si>
  <si>
    <t>Net Transfers/Total column income</t>
  </si>
  <si>
    <t>Surplus(Total)/Total Income</t>
  </si>
  <si>
    <t xml:space="preserve">                 Carrying value=Book Value-----------------------&gt;</t>
  </si>
  <si>
    <t xml:space="preserve">  STATE STOCKS &amp; BONDS                               }</t>
  </si>
  <si>
    <t xml:space="preserve">  STOCK/DEBENTURES IN PUBLIC CORP'S }-----&gt;</t>
  </si>
  <si>
    <t xml:space="preserve">                                                  - Student Loan Funds</t>
  </si>
  <si>
    <t>Depreciation(inc. additional)/total column income</t>
  </si>
  <si>
    <t>Staff Accommodation</t>
  </si>
  <si>
    <t>BURSARIES &amp; SCHOLARSHIPS GRANTED (NSFAS &amp; Other outside funded)</t>
  </si>
  <si>
    <t xml:space="preserve">Total Income/Total Weighted FTE students enrolled </t>
  </si>
  <si>
    <t>Recurrent operating costs</t>
  </si>
  <si>
    <t>Scholarships (institution awarded from specific purpose donated/provided funds)</t>
  </si>
  <si>
    <t>OTHER FINANCIAL INFORMATION - All funding sources</t>
  </si>
  <si>
    <t xml:space="preserve">    Other</t>
  </si>
  <si>
    <t>Personnel cost /Total column recurrent income</t>
  </si>
  <si>
    <t>Other Personnel cost /Total Column recurrent income</t>
  </si>
  <si>
    <t>Current operating costs[exc. depreciation. &amp; capex.]/Total column recurrent income</t>
  </si>
  <si>
    <t>Bursaries/total column recurrent income</t>
  </si>
  <si>
    <t>Depreciation/total column recurent income</t>
  </si>
  <si>
    <t>Finance costs/Total column recurrent income</t>
  </si>
  <si>
    <t>Non-recurrent expenditure [inc. additional deprec.]/Total column non-recurrent income</t>
  </si>
  <si>
    <t>State appropriations total/Total column recurrent income</t>
  </si>
  <si>
    <t>Fee income/Total column recurrent income</t>
  </si>
  <si>
    <t>Contract income/ Total column recurrent income</t>
  </si>
  <si>
    <t>Sales of goods &amp; services/Total column recurrent income</t>
  </si>
  <si>
    <t>Total gifts &amp; grants/Total column recurrent income</t>
  </si>
  <si>
    <t>Investment income/Total column recurrent income</t>
  </si>
  <si>
    <t>Other recurrent income/Total column recurrent income</t>
  </si>
  <si>
    <t>Aggregate components Recurrent Unrestricted funded items</t>
  </si>
  <si>
    <t xml:space="preserve">Total recurrent expenditure/Total Weighted FTE students enrolled </t>
  </si>
  <si>
    <t>Total recurrent personnel cost/Total Weighted FTE students enrolled</t>
  </si>
  <si>
    <t>Academic staff recurrent personnel cost(all)/Total Weighted FTE students enrolled</t>
  </si>
  <si>
    <t>Personnel (Recurrent) - Cost of employment inc. all benefits &amp; taxes</t>
  </si>
  <si>
    <t xml:space="preserve">      Other</t>
  </si>
  <si>
    <t xml:space="preserve">      Personnel - Cost of employment inc. all benefits, provisions &amp; taxes</t>
  </si>
  <si>
    <t xml:space="preserve">  Other - (before the provisions referred to below)</t>
  </si>
  <si>
    <t>Academic Personnel (before provisons)/Total column recurrent income</t>
  </si>
  <si>
    <t>Academic Personnel (Employ/Post employ. provisons)/Total column recurrent income</t>
  </si>
  <si>
    <t>Other Personnel (Employ/Post employ. provisons)/Total column recurrent income</t>
  </si>
  <si>
    <t>Personnel costs - Recurrent (cost to employer inc. all benefits &amp; prov's)</t>
  </si>
  <si>
    <t xml:space="preserve">   Accumulated leave/Post-retirement &amp; related benefits provided [Prior years]</t>
  </si>
  <si>
    <t xml:space="preserve">   Academic - incl. All benefits and provisions</t>
  </si>
  <si>
    <t xml:space="preserve">   Other personnel - incl. All benefits and provisions</t>
  </si>
  <si>
    <t>Academic/Total (all columns) Expenditure</t>
  </si>
  <si>
    <t>Other/Total (all columns Expenditure</t>
  </si>
  <si>
    <t>OTHER FINANCIAL DATA - All sources of funding/Total expenditure</t>
  </si>
  <si>
    <t xml:space="preserve">  Other -  employ./post employ. benefit/obligation provisions. (incl. accum. leave)</t>
  </si>
  <si>
    <t xml:space="preserve">     Operational costs including Bursaries/Scholarships</t>
  </si>
  <si>
    <t>Other costs/Total column recurrent income</t>
  </si>
  <si>
    <t>Bursaries &amp; Scholarships (institution funded - Unrestricted)</t>
  </si>
  <si>
    <t>Student Financial aid:- Accommodation/(all columns) Expenditure</t>
  </si>
  <si>
    <t xml:space="preserve">  First Qualification/Total recurrent unrestricted income</t>
  </si>
  <si>
    <t xml:space="preserve">  Higher Qualification/Total recurrent unrestricted income</t>
  </si>
  <si>
    <r>
      <t>(</t>
    </r>
    <r>
      <rPr>
        <sz val="8"/>
        <rFont val="Arial"/>
        <family val="2"/>
      </rPr>
      <t xml:space="preserve">Written-off + Change in Provision for Irrecoverable)/Total recurrent unrestricted income </t>
    </r>
  </si>
  <si>
    <t>Other total operating expenditures (incl. depreciation &amp; other provisions)</t>
  </si>
  <si>
    <t xml:space="preserve">     Other Operating Costs(all)/Total (all columns) Expenditure</t>
  </si>
  <si>
    <t xml:space="preserve">Financial aid - Student Accommodation Paid- if available separately </t>
  </si>
  <si>
    <t xml:space="preserve">Total student housing: Operating cost per FTE student housed </t>
  </si>
  <si>
    <t>Increase/Decrease(-) in Borrowings - Non-current (Year end balance yrs. n-(n-1))</t>
  </si>
  <si>
    <t>Increase/Decrease(-) in Borrowings - Current - (Year end balance yrs. n-(n-1))</t>
  </si>
  <si>
    <t>Net Capital expenditure/(PPE+Non-current investments)</t>
  </si>
  <si>
    <t>Increase/decrease(-) in non-current and current borrowings years (n -(n-1))</t>
  </si>
  <si>
    <t>LOANS GRANTED - Institution funded</t>
  </si>
  <si>
    <t>Staff - Total amount of Loans granted in current year - Academic Professional</t>
  </si>
  <si>
    <t xml:space="preserve">                                                                                        Other</t>
  </si>
  <si>
    <t>LOANS GRANTED - Other outside funded</t>
  </si>
  <si>
    <t>Students - Amount of Loans granted in current year - Total</t>
  </si>
  <si>
    <t xml:space="preserve">Staff - Amount of staff loans granted during year - Total </t>
  </si>
  <si>
    <t xml:space="preserve">    Students - First qualification/Total all student fee income </t>
  </si>
  <si>
    <t xml:space="preserve">    Staff - Academic Professional/Academic profession total personnel cost</t>
  </si>
  <si>
    <t xml:space="preserve">               Other/Other staff total personnel cost </t>
  </si>
  <si>
    <t xml:space="preserve">                     Higher qualification/Total all student fee income </t>
  </si>
  <si>
    <t xml:space="preserve">                     Total NSFAS Loans/Total all student fee income</t>
  </si>
  <si>
    <t xml:space="preserve">    Students - First qualification/Total all student fee income</t>
  </si>
  <si>
    <t>BURSARIES &amp; SCHOLARSHIPS GRANTED (Institution funded)</t>
  </si>
  <si>
    <t>Student Numbers</t>
  </si>
  <si>
    <t>Student Numbers ((n+1)-(n))/n</t>
  </si>
  <si>
    <t xml:space="preserve">   Retrenchment &amp; related costs</t>
  </si>
  <si>
    <r>
      <t xml:space="preserve">                     </t>
    </r>
    <r>
      <rPr>
        <sz val="8"/>
        <rFont val="Arial"/>
        <family val="2"/>
      </rPr>
      <t xml:space="preserve">Higher qualification/Total all student fee income </t>
    </r>
  </si>
  <si>
    <r>
      <t xml:space="preserve">                   </t>
    </r>
    <r>
      <rPr>
        <sz val="8"/>
        <rFont val="Arial"/>
        <family val="2"/>
      </rPr>
      <t xml:space="preserve">  Total/Total all student fee income</t>
    </r>
  </si>
  <si>
    <r>
      <t xml:space="preserve">                    </t>
    </r>
    <r>
      <rPr>
        <sz val="8"/>
        <rFont val="Arial"/>
        <family val="2"/>
      </rPr>
      <t>Higher qualification/Total all student fee income</t>
    </r>
  </si>
  <si>
    <t>Education &amp; General - Unrestructed Funds</t>
  </si>
  <si>
    <t>Annual Budget</t>
  </si>
  <si>
    <t>Financial Aid</t>
  </si>
  <si>
    <t>Cash &amp; cash equivalents Position</t>
  </si>
  <si>
    <t>Tuition, Related &amp; Other Fees</t>
  </si>
  <si>
    <t>(State Appropriations + Tuition &amp; Related Fees)/Total Recurrent Income</t>
  </si>
  <si>
    <t>Aggregate components Unrestricted Recurrent Income items</t>
  </si>
  <si>
    <t>TOTAL WEIGHTED FTE STUDENTS ENROLLED ---------------------------------------&gt;</t>
  </si>
  <si>
    <r>
      <t xml:space="preserve">LOANS GRANTED inc NSFAS </t>
    </r>
    <r>
      <rPr>
        <sz val="8"/>
        <rFont val="Arial"/>
        <family val="2"/>
      </rPr>
      <t>(Actually granted during the current financial period)</t>
    </r>
  </si>
  <si>
    <t xml:space="preserve">                  Total/Total all student fee income</t>
  </si>
  <si>
    <t xml:space="preserve">                   Total student loans granted/Total all student fee income</t>
  </si>
  <si>
    <t xml:space="preserve">   Students - Higher Qualification/Total student fee income</t>
  </si>
  <si>
    <t xml:space="preserve">   Students - First Qualification/total student fee income</t>
  </si>
  <si>
    <r>
      <t>NOTE</t>
    </r>
    <r>
      <rPr>
        <sz val="8"/>
        <rFont val="Arial"/>
        <family val="2"/>
      </rPr>
      <t>: 'All student fee income' comprises tuition and related and accommodation fees</t>
    </r>
  </si>
  <si>
    <r>
      <t xml:space="preserve">Number of students receiving financial support from </t>
    </r>
    <r>
      <rPr>
        <b/>
        <sz val="8"/>
        <color indexed="12"/>
        <rFont val="Arial"/>
        <family val="2"/>
      </rPr>
      <t>NSFAS</t>
    </r>
    <r>
      <rPr>
        <sz val="8"/>
        <color indexed="12"/>
        <rFont val="Arial"/>
        <family val="2"/>
      </rPr>
      <t xml:space="preserve"> funds*----------------------&gt;</t>
    </r>
  </si>
  <si>
    <r>
      <t xml:space="preserve">Number of students receiving financial support other than from </t>
    </r>
    <r>
      <rPr>
        <b/>
        <sz val="8"/>
        <color indexed="12"/>
        <rFont val="Arial"/>
        <family val="2"/>
      </rPr>
      <t>NSFAS</t>
    </r>
    <r>
      <rPr>
        <sz val="8"/>
        <color indexed="12"/>
        <rFont val="Arial"/>
        <family val="2"/>
      </rPr>
      <t xml:space="preserve"> funds*---------&gt;</t>
    </r>
  </si>
  <si>
    <t>OPERATION &amp; MAINTENANCE OF REAL ESTATE AND PLANT</t>
  </si>
  <si>
    <t>R'000's</t>
  </si>
  <si>
    <t>PROJECTIONS &amp; BUDGETS - RATES OF CHANGE</t>
  </si>
  <si>
    <t>Proportion of student debt (total year's fees) funded from all sources of financial aid*%</t>
  </si>
  <si>
    <t>Proportion of students receiving financial support to total student number* %------------&gt;</t>
  </si>
  <si>
    <t>Projections</t>
  </si>
  <si>
    <t>Non-distributable reserves - Invested in and/or held for PPE</t>
  </si>
  <si>
    <t>SUPPLEMENTARY DATA</t>
  </si>
  <si>
    <t>Supplies &amp; Services</t>
  </si>
  <si>
    <t>Outsourced Supplies &amp; Services</t>
  </si>
  <si>
    <t>Fixed property Costs (incl. rental)</t>
  </si>
  <si>
    <t>Bursaries</t>
  </si>
  <si>
    <t>Cost of goods purchased for re-sale</t>
  </si>
  <si>
    <t>Total</t>
  </si>
  <si>
    <t>Personnel cost</t>
  </si>
  <si>
    <t>Grand Total</t>
  </si>
  <si>
    <t>Carrying value at start of year</t>
  </si>
  <si>
    <t>Disposals/write offs during year</t>
  </si>
  <si>
    <t>Surpluses/deficits incurred</t>
  </si>
  <si>
    <t>Increase/decrease in market values</t>
  </si>
  <si>
    <t>Carrying value at end of year</t>
  </si>
  <si>
    <t>Total income received during year</t>
  </si>
  <si>
    <t>State Stocks &amp; Bonds &amp; Stocks &amp; Debentures in public corporations</t>
  </si>
  <si>
    <t>Municipal stock</t>
  </si>
  <si>
    <t>Shares listed on the Securities Exchange</t>
  </si>
  <si>
    <t>Shares not Listed on Securities Exchange</t>
  </si>
  <si>
    <t>Money Market Deposits</t>
  </si>
  <si>
    <t>Other listed (specify)</t>
  </si>
  <si>
    <t>Other unlisted (specify)</t>
  </si>
  <si>
    <t>Other (specify)</t>
  </si>
  <si>
    <t>State Loans Received</t>
  </si>
  <si>
    <t>Outstanding at start of year</t>
  </si>
  <si>
    <t>Outstanding at end of year</t>
  </si>
  <si>
    <t>Amount repayable within one year</t>
  </si>
  <si>
    <t>Private Loans received</t>
  </si>
  <si>
    <t xml:space="preserve">  Banking Institutions - Overdraft</t>
  </si>
  <si>
    <t xml:space="preserve">    Outstanding at start of year</t>
  </si>
  <si>
    <t xml:space="preserve">    Outstanding at end of year</t>
  </si>
  <si>
    <t xml:space="preserve">    Amount repayable within one year</t>
  </si>
  <si>
    <t xml:space="preserve">  Banking Institutions - Other (specify)</t>
  </si>
  <si>
    <t xml:space="preserve">  Pensions &amp; Provident Funds</t>
  </si>
  <si>
    <t xml:space="preserve">  Insurers</t>
  </si>
  <si>
    <t xml:space="preserve">  Other Financial institutions</t>
  </si>
  <si>
    <t>INSTITUTIONAL SUPPORT</t>
  </si>
  <si>
    <t>Additions at cost</t>
  </si>
  <si>
    <t>Grand Total of income received during year</t>
  </si>
  <si>
    <t xml:space="preserve">   Executive Management, Admin., Professional</t>
  </si>
  <si>
    <t>LOANS GRANTED - NSFAS funded</t>
  </si>
  <si>
    <t>OPERATION &amp; MAINTENANCE OF REAL ESTATE &amp; PLANT</t>
  </si>
  <si>
    <t xml:space="preserve">                           ((n+2)-(n+1))/(n+1)        </t>
  </si>
  <si>
    <t>RATES OF CHANGE DATA TECHNIKONS &amp; UNIVERSITIES</t>
  </si>
  <si>
    <t>Actual:Budgeted</t>
  </si>
  <si>
    <t>Projections &amp; Budgets - Rates of Change</t>
  </si>
  <si>
    <t xml:space="preserve">              Other</t>
  </si>
  <si>
    <t xml:space="preserve">              Borrowings - (not state subsidised)</t>
  </si>
  <si>
    <t xml:space="preserve">              Borrowings - (state subsidised)       </t>
  </si>
  <si>
    <t xml:space="preserve">              Employment benefit obligations </t>
  </si>
  <si>
    <t xml:space="preserve">              Post employment benefits/obligations</t>
  </si>
  <si>
    <t xml:space="preserve">               Current portion of borrowings - General (Incl. Bank loan/Overdrawn)</t>
  </si>
  <si>
    <t>State appropriations total/Total weighted FTE students enrolled</t>
  </si>
  <si>
    <t>Other income/Total weighted FTE students enrolled</t>
  </si>
  <si>
    <t>Tuition fee income/Total weighted FTE students enrolled</t>
  </si>
  <si>
    <t>Non-recurrent income/Total weighted FTE students enrolled</t>
  </si>
  <si>
    <t>Non-distributable reserves - Invested in and/or held for PPE/Total Funds</t>
  </si>
  <si>
    <t xml:space="preserve">INSTRUCTION, RESEARCH, COMMUNITY SERVICE AND RELATED SUPPORT </t>
  </si>
  <si>
    <r>
      <t xml:space="preserve">  OTHER (SPECIFY) [</t>
    </r>
    <r>
      <rPr>
        <b/>
        <sz val="9"/>
        <color indexed="12"/>
        <rFont val="Arial"/>
        <family val="2"/>
      </rPr>
      <t>On line below</t>
    </r>
    <r>
      <rPr>
        <sz val="9"/>
        <color indexed="12"/>
        <rFont val="Arial"/>
        <family val="2"/>
      </rPr>
      <t>]</t>
    </r>
  </si>
  <si>
    <r>
      <t xml:space="preserve">  OTHER (SPECIFY)  [</t>
    </r>
    <r>
      <rPr>
        <b/>
        <sz val="9"/>
        <color indexed="12"/>
        <rFont val="Arial"/>
        <family val="2"/>
      </rPr>
      <t>On line below</t>
    </r>
    <r>
      <rPr>
        <sz val="9"/>
        <color indexed="12"/>
        <rFont val="Arial"/>
        <family val="2"/>
      </rPr>
      <t>]</t>
    </r>
  </si>
  <si>
    <t>CHAPTER 6.3</t>
  </si>
  <si>
    <t>R'000</t>
  </si>
  <si>
    <t xml:space="preserve">Not possible </t>
  </si>
  <si>
    <t>Increase/decrease(-) in cash flow years (n -(n-1))</t>
  </si>
  <si>
    <t xml:space="preserve">   Redemption fund and foreign investments</t>
  </si>
  <si>
    <t>VAAL UNIVERSITY OF TECHNOLOGY</t>
  </si>
  <si>
    <t xml:space="preserve"> </t>
  </si>
  <si>
    <t xml:space="preserve">  BANKING INSTITUTIONS - PRIVATE LOANS</t>
  </si>
  <si>
    <t xml:space="preserve"> OTHER FINANCIAL INSTITUTIONS FINANCE LEASES</t>
  </si>
  <si>
    <t xml:space="preserve"> OTHER - EMFULENI L MANUCIPALITY</t>
  </si>
  <si>
    <r>
      <t>FINANCIAL DATA RETURNS FROM TECHNIKONS &amp; UNIVERSITIES (</t>
    </r>
    <r>
      <rPr>
        <b/>
        <u val="single"/>
        <sz val="12"/>
        <color indexed="10"/>
        <rFont val="Arial"/>
        <family val="2"/>
      </rPr>
      <t>WORKBOOK FOR CAPTURE OF DATA RETURNS</t>
    </r>
    <r>
      <rPr>
        <b/>
        <u val="single"/>
        <sz val="12"/>
        <rFont val="Arial"/>
        <family val="2"/>
      </rPr>
      <t>)</t>
    </r>
  </si>
  <si>
    <r>
      <t xml:space="preserve">        </t>
    </r>
    <r>
      <rPr>
        <b/>
        <sz val="12"/>
        <rFont val="Arial"/>
        <family val="2"/>
      </rPr>
      <t xml:space="preserve">   TOTALS</t>
    </r>
  </si>
  <si>
    <r>
      <t xml:space="preserve"> </t>
    </r>
    <r>
      <rPr>
        <sz val="12"/>
        <rFont val="Arial"/>
        <family val="2"/>
      </rPr>
      <t xml:space="preserve"> Academic - (before the provisions referred to below)</t>
    </r>
  </si>
  <si>
    <r>
      <t xml:space="preserve"> </t>
    </r>
    <r>
      <rPr>
        <sz val="12"/>
        <rFont val="Arial"/>
        <family val="2"/>
      </rPr>
      <t xml:space="preserve"> Academic - employ./post employ. benefit/obligation provisions (incl. accum. leave)</t>
    </r>
  </si>
  <si>
    <r>
      <t xml:space="preserve">   </t>
    </r>
    <r>
      <rPr>
        <sz val="12"/>
        <rFont val="Arial"/>
        <family val="2"/>
      </rPr>
      <t>Library Professional staff</t>
    </r>
  </si>
  <si>
    <r>
      <t xml:space="preserve">  </t>
    </r>
    <r>
      <rPr>
        <sz val="12"/>
        <rFont val="Arial"/>
        <family val="2"/>
      </rPr>
      <t xml:space="preserve">  Bursaries &amp; Scholarships</t>
    </r>
  </si>
  <si>
    <r>
      <t>Non-current</t>
    </r>
    <r>
      <rPr>
        <sz val="12"/>
        <rFont val="Arial"/>
        <family val="2"/>
      </rPr>
      <t xml:space="preserve"> -  PPE</t>
    </r>
  </si>
  <si>
    <r>
      <t>Current</t>
    </r>
    <r>
      <rPr>
        <sz val="12"/>
        <rFont val="Arial"/>
        <family val="2"/>
      </rPr>
      <t xml:space="preserve"> - Inventories</t>
    </r>
  </si>
  <si>
    <r>
      <t>Market value</t>
    </r>
    <r>
      <rPr>
        <sz val="12"/>
        <rFont val="Arial"/>
        <family val="2"/>
      </rPr>
      <t xml:space="preserve"> of non-current investments Year n</t>
    </r>
  </si>
  <si>
    <r>
      <t>Market value</t>
    </r>
    <r>
      <rPr>
        <sz val="12"/>
        <rFont val="Arial"/>
        <family val="2"/>
      </rPr>
      <t xml:space="preserve"> of non-current investments Year n-1</t>
    </r>
  </si>
  <si>
    <r>
      <t xml:space="preserve"> </t>
    </r>
    <r>
      <rPr>
        <b/>
        <sz val="12"/>
        <rFont val="Arial"/>
        <family val="2"/>
      </rPr>
      <t xml:space="preserve"> Other - Emfuleni Local Municipality</t>
    </r>
  </si>
  <si>
    <t>Bursaries &amp; Scholarships  (NSFAS &amp; Other outside funded)</t>
  </si>
  <si>
    <t>VAAL UNIVERSITY OF TECHNOLOGY……..  HEMIS INSTIT. CODE 110</t>
  </si>
  <si>
    <t xml:space="preserve">  </t>
  </si>
  <si>
    <t xml:space="preserve">   </t>
  </si>
  <si>
    <r>
      <t>Aggregate Depreciation Provisions</t>
    </r>
    <r>
      <rPr>
        <sz val="12"/>
        <rFont val="Arial"/>
        <family val="2"/>
      </rPr>
      <t xml:space="preserve"> (Total provided to date - Per Note 3 AFS)</t>
    </r>
  </si>
  <si>
    <t xml:space="preserve">                     Intangible asset</t>
  </si>
  <si>
    <t>INCREASE/DECREASE</t>
  </si>
  <si>
    <t xml:space="preserve">     Call deposit</t>
  </si>
  <si>
    <t xml:space="preserve">     Cash at the bank</t>
  </si>
  <si>
    <t xml:space="preserve">     Cash on hand</t>
  </si>
  <si>
    <t xml:space="preserve">               Accounts payable &amp; accrued liabilities</t>
  </si>
  <si>
    <r>
      <t xml:space="preserve">                  </t>
    </r>
    <r>
      <rPr>
        <sz val="12"/>
        <rFont val="Arial"/>
        <family val="2"/>
      </rPr>
      <t>Higher qualification</t>
    </r>
  </si>
  <si>
    <t>Fixed Equipment costs (incl. Depreciation &amp; capex)</t>
  </si>
  <si>
    <t>SERVICE AND RELATED SUPPORT *</t>
  </si>
  <si>
    <t xml:space="preserve">     Short-term deposits</t>
  </si>
  <si>
    <t>`</t>
  </si>
  <si>
    <t>NON-CURRENT AND CURRENT INVESTMENTS AT 31 DECEMBER 2018</t>
  </si>
  <si>
    <t xml:space="preserve">                                                                  State subsidised loans</t>
  </si>
  <si>
    <t xml:space="preserve">               Loan to group companies</t>
  </si>
  <si>
    <t>(DATA EXTRACTED FROM FINAL FINANCIAL STATEMENTS &amp; RELEVANT BUDGETS 2021)</t>
  </si>
  <si>
    <t>n=2021</t>
  </si>
  <si>
    <t>EXPENDITURE BY ACTIVITY CATEGORY (EDUCATION &amp; GENERAL) FOR THE YEAR ENDED 31 DECEMBER 2021</t>
  </si>
  <si>
    <t>NON-CURRENT AND CURRENT INVESTMENTS AT 31 DECEMBER 2021</t>
  </si>
  <si>
    <t>NON-CURRENT AND CURRENT BORROWINGS AT 31 DECEMBER 2021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</si>
</sst>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#,##0;\-&quot;R&quot;#,##0"/>
    <numFmt numFmtId="171" formatCode="&quot;R&quot;#,##0;[Red]\-&quot;R&quot;#,##0"/>
    <numFmt numFmtId="172" formatCode="&quot;R&quot;#,##0.00;\-&quot;R&quot;#,##0.00"/>
    <numFmt numFmtId="173" formatCode="&quot;R&quot;#,##0.00;[Red]\-&quot;R&quot;#,##0.00"/>
    <numFmt numFmtId="174" formatCode="_-&quot;R&quot;* #,##0_-;\-&quot;R&quot;* #,##0_-;_-&quot;R&quot;* &quot;-&quot;_-;_-@_-"/>
    <numFmt numFmtId="175" formatCode="_-* #,##0_-;\-* #,##0_-;_-* &quot;-&quot;_-;_-@_-"/>
    <numFmt numFmtId="176" formatCode="_-&quot;R&quot;* #,##0.00_-;\-&quot;R&quot;* #,##0.00_-;_-&quot;R&quot;* &quot;-&quot;??_-;_-@_-"/>
    <numFmt numFmtId="177" formatCode="_-* #,##0.00_-;\-* #,##0.00_-;_-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0_ ;\-0\ "/>
    <numFmt numFmtId="197" formatCode="0.0000"/>
    <numFmt numFmtId="198" formatCode="_ * #,##0.0_ ;_ * \-#,##0.0_ ;_ * &quot;-&quot;??_ ;_ @_ "/>
    <numFmt numFmtId="199" formatCode="_ * #,##0_ ;_ * \-#,##0_ ;_ * &quot;-&quot;??_ ;_ @_ "/>
    <numFmt numFmtId="200" formatCode="_(* #,##0.0_);_(* \(#,##0.0\);_(* &quot;-&quot;_);_(@_)"/>
    <numFmt numFmtId="201" formatCode="_(* #,##0.00_);_(* \(#,##0.00\);_(* &quot;-&quot;_);_(@_)"/>
    <numFmt numFmtId="202" formatCode="#,##0.0"/>
    <numFmt numFmtId="203" formatCode="#,##0.000"/>
    <numFmt numFmtId="204" formatCode="0.0"/>
    <numFmt numFmtId="205" formatCode="_ * #,##0.000_ ;_ * \-#,##0.000_ ;_ * &quot;-&quot;??_ ;_ @_ "/>
    <numFmt numFmtId="206" formatCode="_ * #,##0.0000_ ;_ * \-#,##0.0000_ ;_ * &quot;-&quot;??_ ;_ @_ "/>
    <numFmt numFmtId="207" formatCode="#,##0;[Red]#,##0"/>
    <numFmt numFmtId="208" formatCode="_(* #,##0.0_);_(* \(#,##0.0\);_(* &quot;-&quot;?_);_(@_)"/>
    <numFmt numFmtId="209" formatCode="0.0%"/>
    <numFmt numFmtId="210" formatCode="_ * #,##0.0_ ;_ * \-#,##0.0_ ;_ * &quot;-&quot;?_ ;_ @_ 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48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55"/>
      </patternFill>
    </fill>
    <fill>
      <patternFill patternType="lightGray">
        <b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5" fillId="0" borderId="12" xfId="0" applyNumberFormat="1" applyFont="1" applyBorder="1" applyAlignment="1" applyProtection="1">
      <alignment horizontal="right"/>
      <protection/>
    </xf>
    <xf numFmtId="10" fontId="5" fillId="0" borderId="13" xfId="0" applyNumberFormat="1" applyFont="1" applyBorder="1" applyAlignment="1" applyProtection="1">
      <alignment horizontal="right"/>
      <protection/>
    </xf>
    <xf numFmtId="10" fontId="5" fillId="0" borderId="14" xfId="0" applyNumberFormat="1" applyFont="1" applyBorder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 locked="0"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20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16" fillId="0" borderId="17" xfId="0" applyFont="1" applyBorder="1" applyAlignment="1" applyProtection="1" quotePrefix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6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17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1" xfId="0" applyFont="1" applyFill="1" applyBorder="1" applyAlignment="1">
      <alignment/>
    </xf>
    <xf numFmtId="199" fontId="20" fillId="0" borderId="12" xfId="42" applyNumberFormat="1" applyFont="1" applyBorder="1" applyAlignment="1" applyProtection="1">
      <alignment horizontal="right"/>
      <protection locked="0"/>
    </xf>
    <xf numFmtId="199" fontId="20" fillId="0" borderId="12" xfId="42" applyNumberFormat="1" applyFont="1" applyBorder="1" applyAlignment="1" applyProtection="1">
      <alignment/>
      <protection locked="0"/>
    </xf>
    <xf numFmtId="199" fontId="20" fillId="0" borderId="14" xfId="42" applyNumberFormat="1" applyFont="1" applyBorder="1" applyAlignment="1" applyProtection="1">
      <alignment horizontal="right"/>
      <protection locked="0"/>
    </xf>
    <xf numFmtId="199" fontId="20" fillId="0" borderId="14" xfId="42" applyNumberFormat="1" applyFont="1" applyFill="1" applyBorder="1" applyAlignment="1" applyProtection="1">
      <alignment horizontal="right"/>
      <protection locked="0"/>
    </xf>
    <xf numFmtId="199" fontId="20" fillId="0" borderId="29" xfId="42" applyNumberFormat="1" applyFont="1" applyBorder="1" applyAlignment="1" applyProtection="1">
      <alignment/>
      <protection/>
    </xf>
    <xf numFmtId="199" fontId="20" fillId="0" borderId="14" xfId="42" applyNumberFormat="1" applyFont="1" applyBorder="1" applyAlignment="1" applyProtection="1">
      <alignment/>
      <protection/>
    </xf>
    <xf numFmtId="199" fontId="20" fillId="0" borderId="30" xfId="42" applyNumberFormat="1" applyFont="1" applyBorder="1" applyAlignment="1" applyProtection="1">
      <alignment/>
      <protection/>
    </xf>
    <xf numFmtId="199" fontId="20" fillId="0" borderId="31" xfId="42" applyNumberFormat="1" applyFont="1" applyBorder="1" applyAlignment="1" applyProtection="1">
      <alignment/>
      <protection/>
    </xf>
    <xf numFmtId="199" fontId="20" fillId="0" borderId="32" xfId="42" applyNumberFormat="1" applyFont="1" applyBorder="1" applyAlignment="1" applyProtection="1">
      <alignment/>
      <protection/>
    </xf>
    <xf numFmtId="199" fontId="20" fillId="33" borderId="12" xfId="42" applyNumberFormat="1" applyFont="1" applyFill="1" applyBorder="1" applyAlignment="1" applyProtection="1">
      <alignment horizontal="right"/>
      <protection/>
    </xf>
    <xf numFmtId="199" fontId="20" fillId="33" borderId="12" xfId="42" applyNumberFormat="1" applyFont="1" applyFill="1" applyBorder="1" applyAlignment="1" applyProtection="1">
      <alignment/>
      <protection/>
    </xf>
    <xf numFmtId="199" fontId="20" fillId="33" borderId="14" xfId="42" applyNumberFormat="1" applyFont="1" applyFill="1" applyBorder="1" applyAlignment="1" applyProtection="1">
      <alignment horizontal="right"/>
      <protection/>
    </xf>
    <xf numFmtId="199" fontId="20" fillId="33" borderId="33" xfId="42" applyNumberFormat="1" applyFont="1" applyFill="1" applyBorder="1" applyAlignment="1" applyProtection="1">
      <alignment horizontal="right"/>
      <protection/>
    </xf>
    <xf numFmtId="199" fontId="20" fillId="33" borderId="30" xfId="42" applyNumberFormat="1" applyFont="1" applyFill="1" applyBorder="1" applyAlignment="1" applyProtection="1">
      <alignment/>
      <protection/>
    </xf>
    <xf numFmtId="199" fontId="20" fillId="33" borderId="31" xfId="42" applyNumberFormat="1" applyFont="1" applyFill="1" applyBorder="1" applyAlignment="1" applyProtection="1">
      <alignment/>
      <protection/>
    </xf>
    <xf numFmtId="199" fontId="20" fillId="33" borderId="34" xfId="42" applyNumberFormat="1" applyFont="1" applyFill="1" applyBorder="1" applyAlignment="1" applyProtection="1">
      <alignment/>
      <protection/>
    </xf>
    <xf numFmtId="199" fontId="20" fillId="33" borderId="35" xfId="42" applyNumberFormat="1" applyFont="1" applyFill="1" applyBorder="1" applyAlignment="1" applyProtection="1">
      <alignment/>
      <protection/>
    </xf>
    <xf numFmtId="199" fontId="20" fillId="0" borderId="12" xfId="42" applyNumberFormat="1" applyFont="1" applyBorder="1" applyAlignment="1" applyProtection="1">
      <alignment horizontal="right"/>
      <protection/>
    </xf>
    <xf numFmtId="199" fontId="20" fillId="0" borderId="12" xfId="42" applyNumberFormat="1" applyFont="1" applyBorder="1" applyAlignment="1">
      <alignment/>
    </xf>
    <xf numFmtId="199" fontId="20" fillId="0" borderId="36" xfId="42" applyNumberFormat="1" applyFont="1" applyBorder="1" applyAlignment="1" applyProtection="1">
      <alignment/>
      <protection/>
    </xf>
    <xf numFmtId="199" fontId="20" fillId="0" borderId="14" xfId="42" applyNumberFormat="1" applyFont="1" applyBorder="1" applyAlignment="1" applyProtection="1">
      <alignment/>
      <protection locked="0"/>
    </xf>
    <xf numFmtId="199" fontId="20" fillId="0" borderId="15" xfId="42" applyNumberFormat="1" applyFont="1" applyBorder="1" applyAlignment="1" applyProtection="1">
      <alignment/>
      <protection/>
    </xf>
    <xf numFmtId="199" fontId="20" fillId="0" borderId="15" xfId="42" applyNumberFormat="1" applyFont="1" applyBorder="1" applyAlignment="1" applyProtection="1">
      <alignment horizontal="right"/>
      <protection/>
    </xf>
    <xf numFmtId="199" fontId="20" fillId="0" borderId="13" xfId="42" applyNumberFormat="1" applyFont="1" applyBorder="1" applyAlignment="1" applyProtection="1">
      <alignment horizontal="right"/>
      <protection locked="0"/>
    </xf>
    <xf numFmtId="199" fontId="20" fillId="0" borderId="29" xfId="42" applyNumberFormat="1" applyFont="1" applyBorder="1" applyAlignment="1" applyProtection="1">
      <alignment horizontal="right"/>
      <protection locked="0"/>
    </xf>
    <xf numFmtId="199" fontId="20" fillId="33" borderId="37" xfId="42" applyNumberFormat="1" applyFont="1" applyFill="1" applyBorder="1" applyAlignment="1" applyProtection="1">
      <alignment/>
      <protection/>
    </xf>
    <xf numFmtId="199" fontId="20" fillId="33" borderId="36" xfId="42" applyNumberFormat="1" applyFont="1" applyFill="1" applyBorder="1" applyAlignment="1" applyProtection="1">
      <alignment/>
      <protection/>
    </xf>
    <xf numFmtId="199" fontId="20" fillId="33" borderId="15" xfId="42" applyNumberFormat="1" applyFont="1" applyFill="1" applyBorder="1" applyAlignment="1" applyProtection="1">
      <alignment/>
      <protection/>
    </xf>
    <xf numFmtId="199" fontId="20" fillId="33" borderId="38" xfId="42" applyNumberFormat="1" applyFont="1" applyFill="1" applyBorder="1" applyAlignment="1" applyProtection="1">
      <alignment/>
      <protection/>
    </xf>
    <xf numFmtId="199" fontId="20" fillId="33" borderId="13" xfId="42" applyNumberFormat="1" applyFont="1" applyFill="1" applyBorder="1" applyAlignment="1" applyProtection="1">
      <alignment/>
      <protection/>
    </xf>
    <xf numFmtId="199" fontId="20" fillId="33" borderId="33" xfId="42" applyNumberFormat="1" applyFont="1" applyFill="1" applyBorder="1" applyAlignment="1" applyProtection="1">
      <alignment/>
      <protection/>
    </xf>
    <xf numFmtId="199" fontId="20" fillId="0" borderId="37" xfId="42" applyNumberFormat="1" applyFont="1" applyBorder="1" applyAlignment="1" applyProtection="1">
      <alignment/>
      <protection locked="0"/>
    </xf>
    <xf numFmtId="199" fontId="20" fillId="33" borderId="37" xfId="42" applyNumberFormat="1" applyFont="1" applyFill="1" applyBorder="1" applyAlignment="1" applyProtection="1">
      <alignment horizontal="right"/>
      <protection/>
    </xf>
    <xf numFmtId="199" fontId="20" fillId="33" borderId="39" xfId="42" applyNumberFormat="1" applyFont="1" applyFill="1" applyBorder="1" applyAlignment="1" applyProtection="1">
      <alignment horizontal="right"/>
      <protection/>
    </xf>
    <xf numFmtId="199" fontId="20" fillId="33" borderId="29" xfId="42" applyNumberFormat="1" applyFont="1" applyFill="1" applyBorder="1" applyAlignment="1" applyProtection="1">
      <alignment/>
      <protection/>
    </xf>
    <xf numFmtId="199" fontId="20" fillId="33" borderId="14" xfId="42" applyNumberFormat="1" applyFont="1" applyFill="1" applyBorder="1" applyAlignment="1" applyProtection="1">
      <alignment/>
      <protection/>
    </xf>
    <xf numFmtId="199" fontId="20" fillId="0" borderId="15" xfId="42" applyNumberFormat="1" applyFont="1" applyBorder="1" applyAlignment="1" applyProtection="1">
      <alignment horizontal="right"/>
      <protection locked="0"/>
    </xf>
    <xf numFmtId="199" fontId="20" fillId="0" borderId="39" xfId="42" applyNumberFormat="1" applyFont="1" applyBorder="1" applyAlignment="1" applyProtection="1">
      <alignment/>
      <protection locked="0"/>
    </xf>
    <xf numFmtId="199" fontId="20" fillId="0" borderId="23" xfId="42" applyNumberFormat="1" applyFont="1" applyBorder="1" applyAlignment="1" applyProtection="1">
      <alignment/>
      <protection locked="0"/>
    </xf>
    <xf numFmtId="199" fontId="20" fillId="0" borderId="31" xfId="42" applyNumberFormat="1" applyFont="1" applyBorder="1" applyAlignment="1" applyProtection="1">
      <alignment horizontal="right"/>
      <protection locked="0"/>
    </xf>
    <xf numFmtId="199" fontId="20" fillId="0" borderId="20" xfId="42" applyNumberFormat="1" applyFont="1" applyBorder="1" applyAlignment="1" applyProtection="1">
      <alignment horizontal="right"/>
      <protection locked="0"/>
    </xf>
    <xf numFmtId="199" fontId="20" fillId="0" borderId="35" xfId="42" applyNumberFormat="1" applyFont="1" applyBorder="1" applyAlignment="1" applyProtection="1">
      <alignment horizontal="right"/>
      <protection locked="0"/>
    </xf>
    <xf numFmtId="199" fontId="20" fillId="0" borderId="21" xfId="42" applyNumberFormat="1" applyFont="1" applyBorder="1" applyAlignment="1" applyProtection="1">
      <alignment horizontal="right"/>
      <protection locked="0"/>
    </xf>
    <xf numFmtId="199" fontId="20" fillId="0" borderId="23" xfId="42" applyNumberFormat="1" applyFont="1" applyBorder="1" applyAlignment="1" applyProtection="1">
      <alignment horizontal="right"/>
      <protection locked="0"/>
    </xf>
    <xf numFmtId="199" fontId="20" fillId="0" borderId="17" xfId="42" applyNumberFormat="1" applyFont="1" applyBorder="1" applyAlignment="1" applyProtection="1">
      <alignment horizontal="right"/>
      <protection locked="0"/>
    </xf>
    <xf numFmtId="199" fontId="20" fillId="0" borderId="22" xfId="42" applyNumberFormat="1" applyFont="1" applyBorder="1" applyAlignment="1" applyProtection="1">
      <alignment horizontal="right"/>
      <protection locked="0"/>
    </xf>
    <xf numFmtId="199" fontId="20" fillId="33" borderId="23" xfId="42" applyNumberFormat="1" applyFont="1" applyFill="1" applyBorder="1" applyAlignment="1" applyProtection="1">
      <alignment horizontal="right"/>
      <protection/>
    </xf>
    <xf numFmtId="199" fontId="20" fillId="0" borderId="39" xfId="42" applyNumberFormat="1" applyFont="1" applyBorder="1" applyAlignment="1" applyProtection="1">
      <alignment/>
      <protection/>
    </xf>
    <xf numFmtId="199" fontId="20" fillId="33" borderId="25" xfId="42" applyNumberFormat="1" applyFont="1" applyFill="1" applyBorder="1" applyAlignment="1" applyProtection="1">
      <alignment horizontal="right"/>
      <protection/>
    </xf>
    <xf numFmtId="199" fontId="20" fillId="0" borderId="39" xfId="42" applyNumberFormat="1" applyFont="1" applyFill="1" applyBorder="1" applyAlignment="1" applyProtection="1">
      <alignment horizontal="right"/>
      <protection locked="0"/>
    </xf>
    <xf numFmtId="199" fontId="22" fillId="34" borderId="0" xfId="42" applyNumberFormat="1" applyFont="1" applyFill="1" applyAlignment="1">
      <alignment/>
    </xf>
    <xf numFmtId="199" fontId="20" fillId="0" borderId="0" xfId="42" applyNumberFormat="1" applyFont="1" applyAlignment="1">
      <alignment/>
    </xf>
    <xf numFmtId="207" fontId="20" fillId="0" borderId="0" xfId="42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20" fillId="0" borderId="33" xfId="0" applyFont="1" applyFill="1" applyBorder="1" applyAlignment="1" applyProtection="1">
      <alignment/>
      <protection/>
    </xf>
    <xf numFmtId="199" fontId="20" fillId="0" borderId="29" xfId="42" applyNumberFormat="1" applyFont="1" applyFill="1" applyBorder="1" applyAlignment="1">
      <alignment/>
    </xf>
    <xf numFmtId="199" fontId="20" fillId="0" borderId="33" xfId="42" applyNumberFormat="1" applyFont="1" applyFill="1" applyBorder="1" applyAlignment="1" applyProtection="1">
      <alignment/>
      <protection locked="0"/>
    </xf>
    <xf numFmtId="199" fontId="20" fillId="0" borderId="29" xfId="42" applyNumberFormat="1" applyFont="1" applyFill="1" applyBorder="1" applyAlignment="1" applyProtection="1">
      <alignment/>
      <protection locked="0"/>
    </xf>
    <xf numFmtId="199" fontId="20" fillId="0" borderId="29" xfId="42" applyNumberFormat="1" applyFont="1" applyFill="1" applyBorder="1" applyAlignment="1" applyProtection="1">
      <alignment/>
      <protection/>
    </xf>
    <xf numFmtId="199" fontId="20" fillId="0" borderId="30" xfId="42" applyNumberFormat="1" applyFont="1" applyFill="1" applyBorder="1" applyAlignment="1" applyProtection="1">
      <alignment/>
      <protection/>
    </xf>
    <xf numFmtId="199" fontId="20" fillId="0" borderId="32" xfId="42" applyNumberFormat="1" applyFont="1" applyFill="1" applyBorder="1" applyAlignment="1" applyProtection="1">
      <alignment/>
      <protection/>
    </xf>
    <xf numFmtId="199" fontId="20" fillId="0" borderId="34" xfId="42" applyNumberFormat="1" applyFont="1" applyFill="1" applyBorder="1" applyAlignment="1" applyProtection="1">
      <alignment/>
      <protection/>
    </xf>
    <xf numFmtId="199" fontId="20" fillId="0" borderId="33" xfId="42" applyNumberFormat="1" applyFont="1" applyFill="1" applyBorder="1" applyAlignment="1" applyProtection="1">
      <alignment/>
      <protection/>
    </xf>
    <xf numFmtId="199" fontId="20" fillId="0" borderId="33" xfId="42" applyNumberFormat="1" applyFont="1" applyFill="1" applyBorder="1" applyAlignment="1">
      <alignment/>
    </xf>
    <xf numFmtId="199" fontId="20" fillId="0" borderId="36" xfId="42" applyNumberFormat="1" applyFont="1" applyFill="1" applyBorder="1" applyAlignment="1" applyProtection="1">
      <alignment/>
      <protection/>
    </xf>
    <xf numFmtId="199" fontId="20" fillId="0" borderId="12" xfId="42" applyNumberFormat="1" applyFont="1" applyFill="1" applyBorder="1" applyAlignment="1" applyProtection="1">
      <alignment/>
      <protection locked="0"/>
    </xf>
    <xf numFmtId="199" fontId="20" fillId="0" borderId="14" xfId="42" applyNumberFormat="1" applyFont="1" applyFill="1" applyBorder="1" applyAlignment="1" applyProtection="1">
      <alignment/>
      <protection locked="0"/>
    </xf>
    <xf numFmtId="199" fontId="20" fillId="0" borderId="38" xfId="42" applyNumberFormat="1" applyFont="1" applyFill="1" applyBorder="1" applyAlignment="1" applyProtection="1">
      <alignment/>
      <protection locked="0"/>
    </xf>
    <xf numFmtId="199" fontId="20" fillId="0" borderId="13" xfId="42" applyNumberFormat="1" applyFont="1" applyFill="1" applyBorder="1" applyAlignment="1" applyProtection="1">
      <alignment/>
      <protection locked="0"/>
    </xf>
    <xf numFmtId="199" fontId="20" fillId="0" borderId="37" xfId="42" applyNumberFormat="1" applyFont="1" applyFill="1" applyBorder="1" applyAlignment="1" applyProtection="1">
      <alignment/>
      <protection locked="0"/>
    </xf>
    <xf numFmtId="199" fontId="24" fillId="0" borderId="29" xfId="42" applyNumberFormat="1" applyFont="1" applyFill="1" applyBorder="1" applyAlignment="1" applyProtection="1">
      <alignment/>
      <protection/>
    </xf>
    <xf numFmtId="199" fontId="20" fillId="0" borderId="14" xfId="42" applyNumberFormat="1" applyFont="1" applyFill="1" applyBorder="1" applyAlignment="1" applyProtection="1">
      <alignment/>
      <protection/>
    </xf>
    <xf numFmtId="199" fontId="20" fillId="0" borderId="31" xfId="42" applyNumberFormat="1" applyFont="1" applyFill="1" applyBorder="1" applyAlignment="1" applyProtection="1">
      <alignment/>
      <protection locked="0"/>
    </xf>
    <xf numFmtId="199" fontId="20" fillId="0" borderId="35" xfId="42" applyNumberFormat="1" applyFont="1" applyFill="1" applyBorder="1" applyAlignment="1" applyProtection="1">
      <alignment/>
      <protection locked="0"/>
    </xf>
    <xf numFmtId="199" fontId="20" fillId="0" borderId="15" xfId="42" applyNumberFormat="1" applyFont="1" applyFill="1" applyBorder="1" applyAlignment="1" applyProtection="1">
      <alignment/>
      <protection/>
    </xf>
    <xf numFmtId="199" fontId="20" fillId="0" borderId="39" xfId="42" applyNumberFormat="1" applyFont="1" applyFill="1" applyBorder="1" applyAlignment="1" applyProtection="1">
      <alignment/>
      <protection/>
    </xf>
    <xf numFmtId="199" fontId="20" fillId="0" borderId="39" xfId="42" applyNumberFormat="1" applyFont="1" applyFill="1" applyBorder="1" applyAlignment="1" applyProtection="1">
      <alignment/>
      <protection locked="0"/>
    </xf>
    <xf numFmtId="199" fontId="16" fillId="0" borderId="14" xfId="42" applyNumberFormat="1" applyFont="1" applyFill="1" applyBorder="1" applyAlignment="1">
      <alignment/>
    </xf>
    <xf numFmtId="199" fontId="16" fillId="0" borderId="15" xfId="42" applyNumberFormat="1" applyFont="1" applyFill="1" applyBorder="1" applyAlignment="1" applyProtection="1">
      <alignment/>
      <protection/>
    </xf>
    <xf numFmtId="199" fontId="24" fillId="0" borderId="37" xfId="42" applyNumberFormat="1" applyFont="1" applyFill="1" applyBorder="1" applyAlignment="1" applyProtection="1">
      <alignment/>
      <protection locked="0"/>
    </xf>
    <xf numFmtId="185" fontId="20" fillId="0" borderId="0" xfId="42" applyFont="1" applyAlignment="1">
      <alignment/>
    </xf>
    <xf numFmtId="199" fontId="16" fillId="0" borderId="35" xfId="42" applyNumberFormat="1" applyFont="1" applyFill="1" applyBorder="1" applyAlignment="1">
      <alignment horizontal="center"/>
    </xf>
    <xf numFmtId="0" fontId="16" fillId="35" borderId="11" xfId="0" applyFont="1" applyFill="1" applyBorder="1" applyAlignment="1">
      <alignment/>
    </xf>
    <xf numFmtId="0" fontId="20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0" fillId="35" borderId="23" xfId="0" applyFont="1" applyFill="1" applyBorder="1" applyAlignment="1">
      <alignment/>
    </xf>
    <xf numFmtId="0" fontId="16" fillId="35" borderId="11" xfId="0" applyFont="1" applyFill="1" applyBorder="1" applyAlignment="1" applyProtection="1">
      <alignment/>
      <protection/>
    </xf>
    <xf numFmtId="9" fontId="20" fillId="0" borderId="0" xfId="59" applyFont="1" applyAlignment="1">
      <alignment/>
    </xf>
    <xf numFmtId="199" fontId="20" fillId="0" borderId="12" xfId="42" applyNumberFormat="1" applyFont="1" applyFill="1" applyBorder="1" applyAlignment="1" applyProtection="1">
      <alignment horizontal="right"/>
      <protection locked="0"/>
    </xf>
    <xf numFmtId="199" fontId="23" fillId="0" borderId="14" xfId="42" applyNumberFormat="1" applyFont="1" applyFill="1" applyBorder="1" applyAlignment="1" applyProtection="1">
      <alignment horizontal="right"/>
      <protection locked="0"/>
    </xf>
    <xf numFmtId="199" fontId="23" fillId="0" borderId="12" xfId="42" applyNumberFormat="1" applyFont="1" applyFill="1" applyBorder="1" applyAlignment="1" applyProtection="1">
      <alignment horizontal="right"/>
      <protection locked="0"/>
    </xf>
    <xf numFmtId="199" fontId="20" fillId="0" borderId="36" xfId="42" applyNumberFormat="1" applyFont="1" applyFill="1" applyBorder="1" applyAlignment="1">
      <alignment/>
    </xf>
    <xf numFmtId="199" fontId="5" fillId="0" borderId="15" xfId="42" applyNumberFormat="1" applyFont="1" applyFill="1" applyBorder="1" applyAlignment="1" applyProtection="1">
      <alignment horizontal="right"/>
      <protection locked="0"/>
    </xf>
    <xf numFmtId="199" fontId="60" fillId="0" borderId="15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99" fontId="20" fillId="0" borderId="0" xfId="0" applyNumberFormat="1" applyFont="1" applyAlignment="1">
      <alignment/>
    </xf>
    <xf numFmtId="9" fontId="20" fillId="0" borderId="0" xfId="59" applyFont="1" applyAlignment="1" applyProtection="1">
      <alignment/>
      <protection locked="0"/>
    </xf>
    <xf numFmtId="199" fontId="20" fillId="0" borderId="0" xfId="42" applyNumberFormat="1" applyFont="1" applyAlignment="1" applyProtection="1">
      <alignment/>
      <protection locked="0"/>
    </xf>
    <xf numFmtId="199" fontId="24" fillId="0" borderId="36" xfId="42" applyNumberFormat="1" applyFont="1" applyFill="1" applyBorder="1" applyAlignment="1" applyProtection="1">
      <alignment/>
      <protection/>
    </xf>
    <xf numFmtId="199" fontId="5" fillId="0" borderId="15" xfId="42" applyNumberFormat="1" applyFont="1" applyFill="1" applyBorder="1" applyAlignment="1" applyProtection="1">
      <alignment horizontal="right"/>
      <protection/>
    </xf>
    <xf numFmtId="199" fontId="5" fillId="0" borderId="14" xfId="42" applyNumberFormat="1" applyFont="1" applyFill="1" applyBorder="1" applyAlignment="1" applyProtection="1">
      <alignment horizontal="right"/>
      <protection/>
    </xf>
    <xf numFmtId="199" fontId="5" fillId="0" borderId="14" xfId="42" applyNumberFormat="1" applyFont="1" applyFill="1" applyBorder="1" applyAlignment="1" applyProtection="1">
      <alignment horizontal="right"/>
      <protection locked="0"/>
    </xf>
    <xf numFmtId="199" fontId="60" fillId="0" borderId="15" xfId="42" applyNumberFormat="1" applyFont="1" applyFill="1" applyBorder="1" applyAlignment="1" applyProtection="1">
      <alignment horizontal="right"/>
      <protection/>
    </xf>
    <xf numFmtId="1" fontId="61" fillId="0" borderId="0" xfId="0" applyNumberFormat="1" applyFont="1" applyBorder="1" applyAlignment="1" applyProtection="1">
      <alignment horizontal="center"/>
      <protection locked="0"/>
    </xf>
    <xf numFmtId="185" fontId="20" fillId="0" borderId="0" xfId="42" applyFont="1" applyBorder="1" applyAlignment="1" applyProtection="1">
      <alignment/>
      <protection locked="0"/>
    </xf>
    <xf numFmtId="185" fontId="62" fillId="0" borderId="0" xfId="42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85" fontId="20" fillId="0" borderId="0" xfId="42" applyFont="1" applyBorder="1" applyAlignment="1">
      <alignment/>
    </xf>
    <xf numFmtId="185" fontId="62" fillId="0" borderId="0" xfId="42" applyFont="1" applyBorder="1" applyAlignment="1">
      <alignment/>
    </xf>
    <xf numFmtId="1" fontId="20" fillId="0" borderId="0" xfId="0" applyNumberFormat="1" applyFont="1" applyBorder="1" applyAlignment="1">
      <alignment/>
    </xf>
    <xf numFmtId="10" fontId="5" fillId="0" borderId="12" xfId="0" applyNumberFormat="1" applyFont="1" applyFill="1" applyBorder="1" applyAlignment="1" applyProtection="1">
      <alignment horizontal="right"/>
      <protection/>
    </xf>
    <xf numFmtId="2" fontId="5" fillId="0" borderId="12" xfId="0" applyNumberFormat="1" applyFont="1" applyFill="1" applyBorder="1" applyAlignment="1" applyProtection="1">
      <alignment horizontal="right"/>
      <protection/>
    </xf>
    <xf numFmtId="1" fontId="15" fillId="0" borderId="15" xfId="0" applyNumberFormat="1" applyFon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right"/>
      <protection/>
    </xf>
    <xf numFmtId="2" fontId="4" fillId="0" borderId="12" xfId="0" applyNumberFormat="1" applyFont="1" applyFill="1" applyBorder="1" applyAlignment="1" applyProtection="1">
      <alignment horizontal="right"/>
      <protection/>
    </xf>
    <xf numFmtId="10" fontId="5" fillId="0" borderId="15" xfId="0" applyNumberFormat="1" applyFont="1" applyFill="1" applyBorder="1" applyAlignment="1" applyProtection="1">
      <alignment horizontal="right"/>
      <protection/>
    </xf>
    <xf numFmtId="10" fontId="5" fillId="0" borderId="14" xfId="0" applyNumberFormat="1" applyFont="1" applyFill="1" applyBorder="1" applyAlignment="1" applyProtection="1">
      <alignment horizontal="right"/>
      <protection/>
    </xf>
    <xf numFmtId="10" fontId="5" fillId="0" borderId="12" xfId="59" applyNumberFormat="1" applyFont="1" applyFill="1" applyBorder="1" applyAlignment="1" applyProtection="1">
      <alignment horizontal="right"/>
      <protection/>
    </xf>
    <xf numFmtId="10" fontId="5" fillId="0" borderId="14" xfId="59" applyNumberFormat="1" applyFont="1" applyFill="1" applyBorder="1" applyAlignment="1" applyProtection="1">
      <alignment horizontal="right"/>
      <protection/>
    </xf>
    <xf numFmtId="10" fontId="5" fillId="0" borderId="13" xfId="0" applyNumberFormat="1" applyFont="1" applyFill="1" applyBorder="1" applyAlignment="1" applyProtection="1">
      <alignment horizontal="right"/>
      <protection/>
    </xf>
    <xf numFmtId="195" fontId="5" fillId="0" borderId="12" xfId="0" applyNumberFormat="1" applyFont="1" applyFill="1" applyBorder="1" applyAlignment="1" applyProtection="1">
      <alignment horizontal="right"/>
      <protection/>
    </xf>
    <xf numFmtId="10" fontId="5" fillId="0" borderId="39" xfId="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 horizontal="right"/>
      <protection/>
    </xf>
    <xf numFmtId="10" fontId="0" fillId="0" borderId="12" xfId="0" applyNumberFormat="1" applyFill="1" applyBorder="1" applyAlignment="1" applyProtection="1">
      <alignment horizontal="right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10" fontId="5" fillId="0" borderId="31" xfId="0" applyNumberFormat="1" applyFont="1" applyFill="1" applyBorder="1" applyAlignment="1" applyProtection="1">
      <alignment horizontal="right"/>
      <protection/>
    </xf>
    <xf numFmtId="10" fontId="3" fillId="0" borderId="35" xfId="0" applyNumberFormat="1" applyFont="1" applyFill="1" applyBorder="1" applyAlignment="1" applyProtection="1">
      <alignment horizontal="right"/>
      <protection/>
    </xf>
    <xf numFmtId="10" fontId="5" fillId="0" borderId="40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10" fontId="3" fillId="0" borderId="15" xfId="0" applyNumberFormat="1" applyFont="1" applyFill="1" applyBorder="1" applyAlignment="1" applyProtection="1">
      <alignment horizontal="right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right"/>
      <protection/>
    </xf>
    <xf numFmtId="2" fontId="10" fillId="0" borderId="13" xfId="0" applyNumberFormat="1" applyFont="1" applyFill="1" applyBorder="1" applyAlignment="1" applyProtection="1">
      <alignment horizontal="right"/>
      <protection/>
    </xf>
    <xf numFmtId="2" fontId="10" fillId="0" borderId="12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0" fontId="20" fillId="0" borderId="27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36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/>
      <protection/>
    </xf>
    <xf numFmtId="199" fontId="20" fillId="0" borderId="14" xfId="42" applyNumberFormat="1" applyFont="1" applyFill="1" applyBorder="1" applyAlignment="1">
      <alignment/>
    </xf>
    <xf numFmtId="199" fontId="20" fillId="0" borderId="37" xfId="42" applyNumberFormat="1" applyFont="1" applyFill="1" applyBorder="1" applyAlignment="1" applyProtection="1">
      <alignment/>
      <protection/>
    </xf>
    <xf numFmtId="199" fontId="20" fillId="0" borderId="13" xfId="42" applyNumberFormat="1" applyFont="1" applyFill="1" applyBorder="1" applyAlignment="1" applyProtection="1">
      <alignment/>
      <protection/>
    </xf>
    <xf numFmtId="199" fontId="20" fillId="0" borderId="12" xfId="42" applyNumberFormat="1" applyFont="1" applyFill="1" applyBorder="1" applyAlignment="1" applyProtection="1">
      <alignment/>
      <protection/>
    </xf>
    <xf numFmtId="199" fontId="20" fillId="0" borderId="13" xfId="42" applyNumberFormat="1" applyFont="1" applyFill="1" applyBorder="1" applyAlignment="1" applyProtection="1">
      <alignment horizontal="right"/>
      <protection/>
    </xf>
    <xf numFmtId="199" fontId="20" fillId="0" borderId="12" xfId="42" applyNumberFormat="1" applyFont="1" applyFill="1" applyBorder="1" applyAlignment="1" applyProtection="1">
      <alignment horizontal="right"/>
      <protection/>
    </xf>
    <xf numFmtId="199" fontId="20" fillId="0" borderId="15" xfId="42" applyNumberFormat="1" applyFont="1" applyFill="1" applyBorder="1" applyAlignment="1" applyProtection="1">
      <alignment horizontal="right"/>
      <protection/>
    </xf>
    <xf numFmtId="199" fontId="24" fillId="0" borderId="12" xfId="42" applyNumberFormat="1" applyFont="1" applyFill="1" applyBorder="1" applyAlignment="1" applyProtection="1">
      <alignment/>
      <protection locked="0"/>
    </xf>
    <xf numFmtId="199" fontId="16" fillId="0" borderId="11" xfId="42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right"/>
      <protection/>
    </xf>
    <xf numFmtId="199" fontId="17" fillId="0" borderId="15" xfId="42" applyNumberFormat="1" applyFont="1" applyFill="1" applyBorder="1" applyAlignment="1" applyProtection="1">
      <alignment horizontal="right"/>
      <protection locked="0"/>
    </xf>
    <xf numFmtId="199" fontId="5" fillId="0" borderId="41" xfId="42" applyNumberFormat="1" applyFont="1" applyFill="1" applyBorder="1" applyAlignment="1">
      <alignment/>
    </xf>
    <xf numFmtId="199" fontId="5" fillId="0" borderId="41" xfId="42" applyNumberFormat="1" applyFont="1" applyFill="1" applyBorder="1" applyAlignment="1">
      <alignment horizontal="right"/>
    </xf>
    <xf numFmtId="185" fontId="20" fillId="0" borderId="0" xfId="42" applyFont="1" applyAlignment="1" applyProtection="1">
      <alignment/>
      <protection locked="0"/>
    </xf>
    <xf numFmtId="199" fontId="63" fillId="0" borderId="0" xfId="42" applyNumberFormat="1" applyFont="1" applyBorder="1" applyAlignment="1" applyProtection="1">
      <alignment horizontal="right"/>
      <protection locked="0"/>
    </xf>
    <xf numFmtId="199" fontId="20" fillId="0" borderId="31" xfId="42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 quotePrefix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96" fontId="5" fillId="0" borderId="15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10" fontId="5" fillId="0" borderId="13" xfId="59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0" fontId="5" fillId="0" borderId="0" xfId="0" applyNumberFormat="1" applyFont="1" applyFill="1" applyBorder="1" applyAlignment="1" applyProtection="1">
      <alignment/>
      <protection locked="0"/>
    </xf>
    <xf numFmtId="0" fontId="2" fillId="0" borderId="2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0" fontId="0" fillId="0" borderId="0" xfId="0" applyNumberFormat="1" applyFill="1" applyAlignment="1">
      <alignment/>
    </xf>
    <xf numFmtId="0" fontId="9" fillId="0" borderId="2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14" fontId="2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4" fillId="0" borderId="0" xfId="0" applyFont="1" applyFill="1" applyAlignment="1" applyProtection="1">
      <alignment/>
      <protection/>
    </xf>
    <xf numFmtId="199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/>
      <protection/>
    </xf>
    <xf numFmtId="199" fontId="5" fillId="0" borderId="41" xfId="42" applyNumberFormat="1" applyFont="1" applyFill="1" applyBorder="1" applyAlignment="1" applyProtection="1">
      <alignment/>
      <protection/>
    </xf>
    <xf numFmtId="199" fontId="5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199" fontId="4" fillId="0" borderId="0" xfId="0" applyNumberFormat="1" applyFont="1" applyFill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/>
      <protection/>
    </xf>
    <xf numFmtId="199" fontId="0" fillId="0" borderId="15" xfId="42" applyNumberFormat="1" applyFont="1" applyFill="1" applyBorder="1" applyAlignment="1">
      <alignment/>
    </xf>
    <xf numFmtId="199" fontId="0" fillId="0" borderId="15" xfId="42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10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6" fillId="0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 locked="0"/>
    </xf>
    <xf numFmtId="199" fontId="20" fillId="0" borderId="36" xfId="42" applyNumberFormat="1" applyFont="1" applyFill="1" applyBorder="1" applyAlignment="1" applyProtection="1">
      <alignment/>
      <protection locked="0"/>
    </xf>
    <xf numFmtId="199" fontId="16" fillId="0" borderId="15" xfId="42" applyNumberFormat="1" applyFont="1" applyFill="1" applyBorder="1" applyAlignment="1" applyProtection="1">
      <alignment/>
      <protection locked="0"/>
    </xf>
    <xf numFmtId="199" fontId="20" fillId="0" borderId="14" xfId="42" applyNumberFormat="1" applyFont="1" applyFill="1" applyBorder="1" applyAlignment="1" applyProtection="1">
      <alignment horizontal="right"/>
      <protection/>
    </xf>
    <xf numFmtId="199" fontId="20" fillId="0" borderId="23" xfId="42" applyNumberFormat="1" applyFont="1" applyFill="1" applyBorder="1" applyAlignment="1" applyProtection="1">
      <alignment/>
      <protection locked="0"/>
    </xf>
    <xf numFmtId="199" fontId="20" fillId="0" borderId="38" xfId="42" applyNumberFormat="1" applyFont="1" applyFill="1" applyBorder="1" applyAlignment="1" applyProtection="1">
      <alignment horizontal="right"/>
      <protection locked="0"/>
    </xf>
    <xf numFmtId="199" fontId="20" fillId="0" borderId="13" xfId="42" applyNumberFormat="1" applyFont="1" applyFill="1" applyBorder="1" applyAlignment="1" applyProtection="1">
      <alignment horizontal="right"/>
      <protection locked="0"/>
    </xf>
    <xf numFmtId="199" fontId="5" fillId="0" borderId="0" xfId="42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5" fillId="0" borderId="40" xfId="0" applyNumberFormat="1" applyFont="1" applyFill="1" applyBorder="1" applyAlignment="1" applyProtection="1">
      <alignment horizontal="right"/>
      <protection locked="0"/>
    </xf>
    <xf numFmtId="10" fontId="5" fillId="0" borderId="12" xfId="0" applyNumberFormat="1" applyFont="1" applyFill="1" applyBorder="1" applyAlignment="1" applyProtection="1">
      <alignment horizontal="right"/>
      <protection locked="0"/>
    </xf>
    <xf numFmtId="10" fontId="5" fillId="0" borderId="39" xfId="0" applyNumberFormat="1" applyFont="1" applyFill="1" applyBorder="1" applyAlignment="1" applyProtection="1">
      <alignment horizontal="right"/>
      <protection locked="0"/>
    </xf>
    <xf numFmtId="10" fontId="10" fillId="0" borderId="12" xfId="59" applyNumberFormat="1" applyFont="1" applyFill="1" applyBorder="1" applyAlignment="1" applyProtection="1">
      <alignment horizontal="right"/>
      <protection locked="0"/>
    </xf>
    <xf numFmtId="10" fontId="10" fillId="0" borderId="12" xfId="0" applyNumberFormat="1" applyFont="1" applyFill="1" applyBorder="1" applyAlignment="1" applyProtection="1">
      <alignment horizontal="right"/>
      <protection locked="0"/>
    </xf>
    <xf numFmtId="199" fontId="20" fillId="0" borderId="45" xfId="42" applyNumberFormat="1" applyFont="1" applyFill="1" applyBorder="1" applyAlignment="1" applyProtection="1">
      <alignment horizontal="right"/>
      <protection locked="0"/>
    </xf>
    <xf numFmtId="199" fontId="20" fillId="0" borderId="45" xfId="42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6"/>
  <sheetViews>
    <sheetView zoomScale="95" zoomScaleNormal="95" zoomScaleSheetLayoutView="100" zoomScalePageLayoutView="0" workbookViewId="0" topLeftCell="A165">
      <selection activeCell="B127" sqref="B127"/>
    </sheetView>
  </sheetViews>
  <sheetFormatPr defaultColWidth="9.140625" defaultRowHeight="12.75"/>
  <cols>
    <col min="1" max="1" width="84.140625" style="28" customWidth="1"/>
    <col min="2" max="2" width="16.57421875" style="237" customWidth="1"/>
    <col min="3" max="5" width="16.57421875" style="28" customWidth="1"/>
    <col min="6" max="6" width="19.28125" style="28" bestFit="1" customWidth="1"/>
    <col min="7" max="8" width="16.00390625" style="28" bestFit="1" customWidth="1"/>
    <col min="9" max="9" width="15.8515625" style="28" bestFit="1" customWidth="1"/>
    <col min="10" max="20" width="10.7109375" style="28" customWidth="1"/>
    <col min="21" max="16384" width="9.140625" style="28" customWidth="1"/>
  </cols>
  <sheetData>
    <row r="1" spans="1:6" ht="15.75">
      <c r="A1" s="27" t="s">
        <v>515</v>
      </c>
      <c r="B1" s="339"/>
      <c r="C1" s="27"/>
      <c r="D1" s="27"/>
      <c r="E1" s="27"/>
      <c r="F1" s="27"/>
    </row>
    <row r="2" spans="1:3" ht="15.75">
      <c r="A2" s="27" t="s">
        <v>545</v>
      </c>
      <c r="B2" s="339"/>
      <c r="C2" s="27"/>
    </row>
    <row r="3" spans="1:14" ht="37.5" customHeight="1">
      <c r="A3" s="357"/>
      <c r="B3" s="357"/>
      <c r="C3" s="357"/>
      <c r="D3" s="357"/>
      <c r="E3" s="357"/>
      <c r="F3" s="27"/>
      <c r="J3" s="27"/>
      <c r="N3" s="27"/>
    </row>
    <row r="4" spans="1:10" ht="15.75">
      <c r="A4" s="22">
        <v>2021</v>
      </c>
      <c r="C4" s="29"/>
      <c r="D4" s="29"/>
      <c r="E4" s="29"/>
      <c r="F4" s="27"/>
      <c r="G4" s="30"/>
      <c r="H4" s="29"/>
      <c r="I4" s="29"/>
      <c r="J4" s="29"/>
    </row>
    <row r="5" spans="1:10" ht="16.5" thickBot="1">
      <c r="A5" s="31" t="s">
        <v>527</v>
      </c>
      <c r="B5" s="340" t="s">
        <v>506</v>
      </c>
      <c r="C5" s="32" t="s">
        <v>506</v>
      </c>
      <c r="D5" s="32" t="s">
        <v>506</v>
      </c>
      <c r="E5" s="32" t="s">
        <v>506</v>
      </c>
      <c r="F5" s="27"/>
      <c r="G5" s="30"/>
      <c r="H5" s="29"/>
      <c r="I5" s="29"/>
      <c r="J5" s="29"/>
    </row>
    <row r="6" spans="1:10" ht="16.5" thickBot="1">
      <c r="A6" s="33" t="s">
        <v>429</v>
      </c>
      <c r="B6" s="355">
        <v>14930</v>
      </c>
      <c r="C6" s="356">
        <v>15833</v>
      </c>
      <c r="D6" s="356">
        <v>16438</v>
      </c>
      <c r="E6" s="356">
        <v>17073</v>
      </c>
      <c r="F6" s="27"/>
      <c r="G6" s="30"/>
      <c r="H6" s="29"/>
      <c r="I6" s="29"/>
      <c r="J6" s="29"/>
    </row>
    <row r="7" spans="1:10" ht="16.5" thickTop="1">
      <c r="A7" s="34" t="s">
        <v>0</v>
      </c>
      <c r="B7" s="208"/>
      <c r="C7" s="208" t="s">
        <v>516</v>
      </c>
      <c r="D7" s="208"/>
      <c r="E7" s="209"/>
      <c r="G7" s="30"/>
      <c r="H7" s="35"/>
      <c r="I7" s="35"/>
      <c r="J7" s="35"/>
    </row>
    <row r="8" spans="1:72" ht="15.75">
      <c r="A8" s="36"/>
      <c r="B8" s="210" t="s">
        <v>18</v>
      </c>
      <c r="C8" s="211" t="s">
        <v>31</v>
      </c>
      <c r="D8" s="212" t="s">
        <v>47</v>
      </c>
      <c r="E8" s="213"/>
      <c r="G8" s="30"/>
      <c r="H8" s="35"/>
      <c r="I8" s="35"/>
      <c r="J8" s="35"/>
      <c r="L8" s="27"/>
      <c r="N8" s="37"/>
      <c r="P8" s="27"/>
      <c r="R8" s="37"/>
      <c r="T8" s="27"/>
      <c r="V8" s="37"/>
      <c r="X8" s="27"/>
      <c r="Z8" s="37"/>
      <c r="AB8" s="27"/>
      <c r="AD8" s="37"/>
      <c r="AF8" s="27"/>
      <c r="AH8" s="37"/>
      <c r="AJ8" s="27"/>
      <c r="AL8" s="37"/>
      <c r="AN8" s="27"/>
      <c r="AP8" s="37"/>
      <c r="AR8" s="27"/>
      <c r="AT8" s="37"/>
      <c r="AV8" s="27"/>
      <c r="AX8" s="37"/>
      <c r="AZ8" s="27"/>
      <c r="BB8" s="37"/>
      <c r="BD8" s="27"/>
      <c r="BF8" s="37"/>
      <c r="BH8" s="27"/>
      <c r="BJ8" s="37"/>
      <c r="BL8" s="27"/>
      <c r="BN8" s="37"/>
      <c r="BP8" s="27"/>
      <c r="BR8" s="37"/>
      <c r="BT8" s="27"/>
    </row>
    <row r="9" spans="1:73" ht="12.75" customHeight="1">
      <c r="A9" s="38"/>
      <c r="B9" s="214">
        <v>2021</v>
      </c>
      <c r="C9" s="215">
        <v>2021</v>
      </c>
      <c r="D9" s="215">
        <v>2022</v>
      </c>
      <c r="E9" s="215">
        <v>2023</v>
      </c>
      <c r="F9" s="27"/>
      <c r="G9" s="30"/>
      <c r="H9" s="35"/>
      <c r="I9" s="35"/>
      <c r="J9" s="35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</row>
    <row r="10" spans="1:10" ht="15.75">
      <c r="A10" s="36" t="s">
        <v>529</v>
      </c>
      <c r="B10" s="126"/>
      <c r="C10" s="216" t="s">
        <v>528</v>
      </c>
      <c r="D10" s="216" t="s">
        <v>528</v>
      </c>
      <c r="E10" s="216"/>
      <c r="G10" s="30"/>
      <c r="H10" s="35"/>
      <c r="I10" s="35"/>
      <c r="J10" s="35"/>
    </row>
    <row r="11" spans="1:10" ht="15.75">
      <c r="A11" s="39" t="s">
        <v>142</v>
      </c>
      <c r="B11" s="126"/>
      <c r="C11" s="216"/>
      <c r="D11" s="216"/>
      <c r="E11" s="216"/>
      <c r="G11" s="30"/>
      <c r="H11" s="35"/>
      <c r="I11" s="35"/>
      <c r="J11" s="35"/>
    </row>
    <row r="12" spans="1:10" ht="15.75">
      <c r="A12" s="40" t="s">
        <v>19</v>
      </c>
      <c r="B12" s="127">
        <f>SUM(B13:B21)</f>
        <v>1450999</v>
      </c>
      <c r="C12" s="217">
        <f>SUM(C13:C21)</f>
        <v>1292206</v>
      </c>
      <c r="D12" s="217">
        <f>SUM(D13:D21)</f>
        <v>1281077</v>
      </c>
      <c r="E12" s="217">
        <f>SUM(E13:E21)</f>
        <v>1336045.76</v>
      </c>
      <c r="F12" s="167"/>
      <c r="G12" s="30"/>
      <c r="H12" s="35"/>
      <c r="I12" s="35"/>
      <c r="J12" s="35"/>
    </row>
    <row r="13" spans="1:10" ht="15">
      <c r="A13" s="28" t="s">
        <v>149</v>
      </c>
      <c r="B13" s="128">
        <v>805940</v>
      </c>
      <c r="C13" s="160">
        <v>790937</v>
      </c>
      <c r="D13" s="160">
        <v>788961</v>
      </c>
      <c r="E13" s="160">
        <v>833116</v>
      </c>
      <c r="F13" s="167"/>
      <c r="G13" s="169"/>
      <c r="H13" s="35"/>
      <c r="I13" s="35"/>
      <c r="J13" s="35"/>
    </row>
    <row r="14" spans="1:10" ht="15">
      <c r="A14" s="28" t="s">
        <v>1</v>
      </c>
      <c r="B14" s="128">
        <v>463017</v>
      </c>
      <c r="C14" s="160">
        <v>365524</v>
      </c>
      <c r="D14" s="160">
        <v>350946</v>
      </c>
      <c r="E14" s="160">
        <v>359131</v>
      </c>
      <c r="F14" s="167"/>
      <c r="G14" s="169"/>
      <c r="H14" s="35"/>
      <c r="I14" s="35"/>
      <c r="J14" s="35"/>
    </row>
    <row r="15" spans="1:10" ht="15">
      <c r="A15" s="28" t="s">
        <v>51</v>
      </c>
      <c r="B15" s="128">
        <v>0</v>
      </c>
      <c r="C15" s="160">
        <v>9650</v>
      </c>
      <c r="D15" s="160">
        <f>C15*108/100</f>
        <v>10422</v>
      </c>
      <c r="E15" s="160">
        <f>D15*108/100</f>
        <v>11255.76</v>
      </c>
      <c r="F15" s="167"/>
      <c r="G15" s="168"/>
      <c r="H15" s="35"/>
      <c r="I15" s="35"/>
      <c r="J15" s="35"/>
    </row>
    <row r="16" spans="1:10" ht="15">
      <c r="A16" s="28" t="s">
        <v>21</v>
      </c>
      <c r="B16" s="128"/>
      <c r="C16" s="137"/>
      <c r="D16" s="137"/>
      <c r="E16" s="137"/>
      <c r="F16" s="167"/>
      <c r="G16" s="168"/>
      <c r="H16" s="35"/>
      <c r="I16" s="35"/>
      <c r="J16" s="35"/>
    </row>
    <row r="17" spans="1:10" ht="15">
      <c r="A17" s="28" t="s">
        <v>285</v>
      </c>
      <c r="B17" s="128"/>
      <c r="C17" s="137"/>
      <c r="D17" s="137"/>
      <c r="E17" s="137"/>
      <c r="F17" s="167"/>
      <c r="G17" s="168"/>
      <c r="H17" s="35"/>
      <c r="I17" s="35"/>
      <c r="J17" s="35"/>
    </row>
    <row r="18" spans="1:10" ht="15">
      <c r="A18" s="28" t="s">
        <v>2</v>
      </c>
      <c r="B18" s="128">
        <v>5612</v>
      </c>
      <c r="C18" s="137"/>
      <c r="D18" s="137"/>
      <c r="E18" s="137"/>
      <c r="F18" s="167"/>
      <c r="G18" s="168"/>
      <c r="H18" s="35"/>
      <c r="I18" s="35"/>
      <c r="J18" s="35"/>
    </row>
    <row r="19" spans="1:10" ht="15">
      <c r="A19" s="28" t="s">
        <v>3</v>
      </c>
      <c r="B19" s="128">
        <v>1793</v>
      </c>
      <c r="C19" s="160">
        <v>2100</v>
      </c>
      <c r="D19" s="160">
        <v>2200</v>
      </c>
      <c r="E19" s="160">
        <v>2150</v>
      </c>
      <c r="F19" s="167"/>
      <c r="G19" s="168"/>
      <c r="H19" s="35"/>
      <c r="I19" s="35"/>
      <c r="J19" s="35"/>
    </row>
    <row r="20" spans="1:10" ht="15">
      <c r="A20" s="28" t="s">
        <v>48</v>
      </c>
      <c r="B20" s="128">
        <v>97485</v>
      </c>
      <c r="C20" s="160">
        <f>76850</f>
        <v>76850</v>
      </c>
      <c r="D20" s="160">
        <f>77000</f>
        <v>77000</v>
      </c>
      <c r="E20" s="160">
        <f>77550</f>
        <v>77550</v>
      </c>
      <c r="F20" s="167"/>
      <c r="G20" s="168"/>
      <c r="H20" s="41"/>
      <c r="I20" s="41"/>
      <c r="J20" s="35"/>
    </row>
    <row r="21" spans="1:10" ht="15">
      <c r="A21" s="42" t="s">
        <v>145</v>
      </c>
      <c r="B21" s="129">
        <v>77152</v>
      </c>
      <c r="C21" s="75">
        <v>47145</v>
      </c>
      <c r="D21" s="75">
        <v>51548</v>
      </c>
      <c r="E21" s="75">
        <v>52843</v>
      </c>
      <c r="F21" s="167"/>
      <c r="G21" s="168"/>
      <c r="H21" s="41"/>
      <c r="I21" s="41"/>
      <c r="J21" s="35"/>
    </row>
    <row r="22" spans="1:10" ht="15.75">
      <c r="A22" s="40" t="s">
        <v>20</v>
      </c>
      <c r="B22" s="130">
        <f>SUM(B23:B24)</f>
        <v>815</v>
      </c>
      <c r="C22" s="130">
        <f>SUM(C23:C24)</f>
        <v>0</v>
      </c>
      <c r="D22" s="130">
        <f>SUM(D23:D24)</f>
        <v>0</v>
      </c>
      <c r="E22" s="143">
        <f>SUM(E23:E24)</f>
        <v>0</v>
      </c>
      <c r="F22" s="41"/>
      <c r="G22" s="41"/>
      <c r="H22" s="41"/>
      <c r="I22" s="41"/>
      <c r="J22" s="35"/>
    </row>
    <row r="23" spans="1:10" ht="15">
      <c r="A23" s="28" t="s">
        <v>267</v>
      </c>
      <c r="B23" s="128">
        <v>888</v>
      </c>
      <c r="C23" s="160"/>
      <c r="D23" s="160"/>
      <c r="E23" s="160"/>
      <c r="F23" s="41"/>
      <c r="G23" s="41"/>
      <c r="H23" s="41"/>
      <c r="I23" s="41"/>
      <c r="J23" s="35"/>
    </row>
    <row r="24" spans="1:10" ht="15">
      <c r="A24" s="42" t="s">
        <v>145</v>
      </c>
      <c r="B24" s="128">
        <v>-73</v>
      </c>
      <c r="C24" s="160"/>
      <c r="D24" s="160"/>
      <c r="E24" s="160"/>
      <c r="F24" s="41"/>
      <c r="G24" s="41"/>
      <c r="H24" s="41"/>
      <c r="I24" s="41"/>
      <c r="J24" s="35"/>
    </row>
    <row r="25" spans="1:10" ht="16.5" thickBot="1">
      <c r="A25" s="43" t="s">
        <v>176</v>
      </c>
      <c r="B25" s="131">
        <f>B12</f>
        <v>1450999</v>
      </c>
      <c r="C25" s="131">
        <f>C12+C22</f>
        <v>1292206</v>
      </c>
      <c r="D25" s="131">
        <f>D12+D22</f>
        <v>1281077</v>
      </c>
      <c r="E25" s="236">
        <f>E12+E22</f>
        <v>1336045.76</v>
      </c>
      <c r="F25" s="41"/>
      <c r="G25" s="152" t="s">
        <v>511</v>
      </c>
      <c r="H25" s="41"/>
      <c r="I25" s="41"/>
      <c r="J25" s="35"/>
    </row>
    <row r="26" spans="1:10" ht="15.75">
      <c r="A26" s="44" t="s">
        <v>143</v>
      </c>
      <c r="B26" s="132"/>
      <c r="C26" s="81"/>
      <c r="D26" s="81"/>
      <c r="E26" s="81"/>
      <c r="F26" s="41"/>
      <c r="G26" s="152" t="s">
        <v>511</v>
      </c>
      <c r="H26" s="41"/>
      <c r="I26" s="41"/>
      <c r="J26" s="35"/>
    </row>
    <row r="27" spans="1:10" ht="15">
      <c r="A27" s="28" t="s">
        <v>150</v>
      </c>
      <c r="B27" s="128">
        <v>31672</v>
      </c>
      <c r="C27" s="81"/>
      <c r="D27" s="81"/>
      <c r="E27" s="81"/>
      <c r="F27" s="41"/>
      <c r="G27" s="41"/>
      <c r="H27" s="41"/>
      <c r="I27" s="41"/>
      <c r="J27" s="35"/>
    </row>
    <row r="28" spans="1:10" ht="15">
      <c r="A28" s="28" t="s">
        <v>21</v>
      </c>
      <c r="B28" s="128">
        <v>12312</v>
      </c>
      <c r="C28" s="82"/>
      <c r="D28" s="82"/>
      <c r="E28" s="82"/>
      <c r="F28" s="41"/>
      <c r="G28" s="41"/>
      <c r="H28" s="41"/>
      <c r="I28" s="41"/>
      <c r="J28" s="29"/>
    </row>
    <row r="29" spans="1:10" ht="15">
      <c r="A29" s="28" t="s">
        <v>52</v>
      </c>
      <c r="B29" s="128"/>
      <c r="C29" s="82"/>
      <c r="D29" s="82"/>
      <c r="E29" s="82"/>
      <c r="F29" s="41"/>
      <c r="G29" s="41"/>
      <c r="H29" s="41"/>
      <c r="I29" s="41"/>
      <c r="J29" s="29"/>
    </row>
    <row r="30" spans="1:10" ht="15">
      <c r="A30" s="28" t="s">
        <v>2</v>
      </c>
      <c r="B30" s="128"/>
      <c r="C30" s="82"/>
      <c r="D30" s="82"/>
      <c r="E30" s="82"/>
      <c r="F30" s="41"/>
      <c r="G30" s="41"/>
      <c r="H30" s="41"/>
      <c r="I30" s="41"/>
      <c r="J30" s="29"/>
    </row>
    <row r="31" spans="1:10" ht="15">
      <c r="A31" s="28" t="s">
        <v>4</v>
      </c>
      <c r="B31" s="128"/>
      <c r="C31" s="81"/>
      <c r="D31" s="81"/>
      <c r="E31" s="81"/>
      <c r="F31" s="41"/>
      <c r="G31" s="41"/>
      <c r="H31" s="41"/>
      <c r="I31" s="41"/>
      <c r="J31" s="29"/>
    </row>
    <row r="32" spans="1:10" ht="15">
      <c r="A32" s="28" t="s">
        <v>49</v>
      </c>
      <c r="B32" s="128">
        <v>0</v>
      </c>
      <c r="C32" s="81"/>
      <c r="D32" s="81"/>
      <c r="E32" s="81"/>
      <c r="F32" s="41"/>
      <c r="G32" s="41"/>
      <c r="H32" s="41"/>
      <c r="I32" s="41"/>
      <c r="J32" s="29"/>
    </row>
    <row r="33" spans="1:10" ht="15">
      <c r="A33" s="42" t="s">
        <v>145</v>
      </c>
      <c r="B33" s="129">
        <v>0</v>
      </c>
      <c r="C33" s="83"/>
      <c r="D33" s="83"/>
      <c r="E33" s="83"/>
      <c r="F33" s="152"/>
      <c r="G33" s="41"/>
      <c r="H33" s="41"/>
      <c r="I33" s="41"/>
      <c r="J33" s="29"/>
    </row>
    <row r="34" spans="1:10" ht="15">
      <c r="A34" s="42" t="s">
        <v>336</v>
      </c>
      <c r="B34" s="128"/>
      <c r="C34" s="84"/>
      <c r="D34" s="84"/>
      <c r="E34" s="81"/>
      <c r="F34" s="152"/>
      <c r="G34" s="41"/>
      <c r="H34" s="41"/>
      <c r="I34" s="41"/>
      <c r="J34" s="29"/>
    </row>
    <row r="35" spans="1:10" ht="16.5" thickBot="1">
      <c r="A35" s="43" t="s">
        <v>177</v>
      </c>
      <c r="B35" s="131">
        <f>SUM(B27:B33)</f>
        <v>43984</v>
      </c>
      <c r="C35" s="85"/>
      <c r="D35" s="85"/>
      <c r="E35" s="86"/>
      <c r="F35" s="152"/>
      <c r="G35" s="41"/>
      <c r="H35" s="41"/>
      <c r="I35" s="41"/>
      <c r="J35" s="29"/>
    </row>
    <row r="36" spans="1:10" ht="16.5" thickBot="1">
      <c r="A36" s="45" t="s">
        <v>178</v>
      </c>
      <c r="B36" s="133">
        <f>B25+B35</f>
        <v>1494983</v>
      </c>
      <c r="C36" s="87"/>
      <c r="D36" s="87"/>
      <c r="E36" s="88"/>
      <c r="F36" s="41"/>
      <c r="G36" s="41"/>
      <c r="H36" s="41"/>
      <c r="I36" s="41"/>
      <c r="J36" s="29"/>
    </row>
    <row r="37" spans="1:10" ht="15.75">
      <c r="A37" s="44" t="s">
        <v>26</v>
      </c>
      <c r="B37" s="134"/>
      <c r="C37" s="89"/>
      <c r="D37" s="89"/>
      <c r="E37" s="89"/>
      <c r="F37" s="41"/>
      <c r="G37" s="41"/>
      <c r="H37" s="41"/>
      <c r="I37" s="41"/>
      <c r="J37" s="29"/>
    </row>
    <row r="38" spans="1:10" ht="15">
      <c r="A38" s="28" t="s">
        <v>284</v>
      </c>
      <c r="B38" s="128">
        <v>0</v>
      </c>
      <c r="C38" s="160">
        <v>0</v>
      </c>
      <c r="D38" s="160">
        <v>0</v>
      </c>
      <c r="E38" s="160"/>
      <c r="F38" s="41"/>
      <c r="G38" s="41"/>
      <c r="H38" s="41"/>
      <c r="I38" s="41"/>
      <c r="J38" s="29"/>
    </row>
    <row r="39" spans="1:10" s="237" customFormat="1" ht="15">
      <c r="A39" s="237" t="s">
        <v>50</v>
      </c>
      <c r="B39" s="128">
        <v>258305</v>
      </c>
      <c r="C39" s="160">
        <v>269129</v>
      </c>
      <c r="D39" s="160">
        <v>129417</v>
      </c>
      <c r="E39" s="160">
        <v>152217</v>
      </c>
      <c r="F39" s="238"/>
      <c r="G39" s="238"/>
      <c r="H39" s="238"/>
      <c r="I39" s="238"/>
      <c r="J39" s="239"/>
    </row>
    <row r="40" spans="1:10" ht="15">
      <c r="A40" s="28" t="s">
        <v>2</v>
      </c>
      <c r="B40" s="128">
        <v>0</v>
      </c>
      <c r="C40" s="160" t="s">
        <v>511</v>
      </c>
      <c r="D40" s="160" t="s">
        <v>511</v>
      </c>
      <c r="E40" s="160" t="s">
        <v>511</v>
      </c>
      <c r="F40" s="41"/>
      <c r="G40" s="41"/>
      <c r="H40" s="41"/>
      <c r="I40" s="41"/>
      <c r="J40" s="35"/>
    </row>
    <row r="41" spans="1:10" ht="15">
      <c r="A41" s="28" t="s">
        <v>4</v>
      </c>
      <c r="B41" s="128">
        <v>0</v>
      </c>
      <c r="C41" s="160"/>
      <c r="D41" s="160"/>
      <c r="E41" s="160"/>
      <c r="F41" s="41"/>
      <c r="G41" s="41"/>
      <c r="H41" s="41"/>
      <c r="I41" s="41"/>
      <c r="J41" s="35"/>
    </row>
    <row r="42" spans="1:10" ht="15">
      <c r="A42" s="28" t="s">
        <v>49</v>
      </c>
      <c r="B42" s="128"/>
      <c r="C42" s="160"/>
      <c r="D42" s="160"/>
      <c r="E42" s="160"/>
      <c r="F42" s="41"/>
      <c r="G42" s="41"/>
      <c r="H42" s="41"/>
      <c r="I42" s="41"/>
      <c r="J42" s="35"/>
    </row>
    <row r="43" spans="1:10" ht="15">
      <c r="A43" s="42" t="s">
        <v>145</v>
      </c>
      <c r="B43" s="128">
        <v>45940</v>
      </c>
      <c r="C43" s="160"/>
      <c r="D43" s="160"/>
      <c r="E43" s="160"/>
      <c r="F43" s="41"/>
      <c r="G43" s="41"/>
      <c r="H43" s="41"/>
      <c r="I43" s="41"/>
      <c r="J43" s="35"/>
    </row>
    <row r="44" spans="1:10" ht="16.5" thickBot="1">
      <c r="A44" s="43" t="s">
        <v>144</v>
      </c>
      <c r="B44" s="131">
        <f>SUM(B38:B43)</f>
        <v>304245</v>
      </c>
      <c r="C44" s="78">
        <f>SUM(C38:C43)</f>
        <v>269129</v>
      </c>
      <c r="D44" s="78">
        <f>SUM(D38:D43)</f>
        <v>129417</v>
      </c>
      <c r="E44" s="79">
        <f>SUM(E38:E43)</f>
        <v>152217</v>
      </c>
      <c r="F44" s="41"/>
      <c r="G44" s="41"/>
      <c r="H44" s="41"/>
      <c r="I44" s="41"/>
      <c r="J44" s="35"/>
    </row>
    <row r="45" spans="1:9" ht="16.5" thickBot="1">
      <c r="A45" s="45" t="s">
        <v>245</v>
      </c>
      <c r="B45" s="133">
        <f>B36+B44</f>
        <v>1799228</v>
      </c>
      <c r="C45" s="87"/>
      <c r="D45" s="87"/>
      <c r="E45" s="88"/>
      <c r="F45" s="41"/>
      <c r="G45" s="41"/>
      <c r="H45" s="41"/>
      <c r="I45" s="41"/>
    </row>
    <row r="46" spans="1:9" ht="15.75">
      <c r="A46" s="44" t="s">
        <v>5</v>
      </c>
      <c r="B46" s="135"/>
      <c r="C46" s="90"/>
      <c r="D46" s="90"/>
      <c r="E46" s="90"/>
      <c r="F46" s="41"/>
      <c r="G46" s="41"/>
      <c r="H46" s="41"/>
      <c r="I46" s="41"/>
    </row>
    <row r="47" spans="1:9" ht="15.75">
      <c r="A47" s="46" t="s">
        <v>142</v>
      </c>
      <c r="B47" s="130"/>
      <c r="C47" s="77"/>
      <c r="D47" s="77"/>
      <c r="E47" s="77"/>
      <c r="F47" s="41"/>
      <c r="G47" s="41"/>
      <c r="H47" s="41"/>
      <c r="I47" s="41"/>
    </row>
    <row r="48" spans="1:10" ht="15.75">
      <c r="A48" s="46" t="s">
        <v>373</v>
      </c>
      <c r="B48" s="136">
        <f>SUM(B49:B52)</f>
        <v>868433</v>
      </c>
      <c r="C48" s="91">
        <f>SUM(C49:C52)</f>
        <v>918106</v>
      </c>
      <c r="D48" s="91">
        <f>SUM(D49:D52)</f>
        <v>919296</v>
      </c>
      <c r="E48" s="93">
        <f>SUM(E49:E52)</f>
        <v>955798</v>
      </c>
      <c r="F48" s="169"/>
      <c r="G48" s="235"/>
      <c r="H48" s="175"/>
      <c r="I48" s="175"/>
      <c r="J48" s="51"/>
    </row>
    <row r="49" spans="1:10" ht="15.75">
      <c r="A49" s="47" t="s">
        <v>517</v>
      </c>
      <c r="B49" s="140">
        <f>374722-B72</f>
        <v>364104</v>
      </c>
      <c r="C49" s="344">
        <f>372369+43000+53195</f>
        <v>468564</v>
      </c>
      <c r="D49" s="344">
        <f>344212+5843+120435</f>
        <v>470490</v>
      </c>
      <c r="E49" s="137">
        <f>359701+2000+153908</f>
        <v>515609</v>
      </c>
      <c r="F49" s="169"/>
      <c r="G49" s="235"/>
      <c r="H49" s="176"/>
      <c r="I49" s="176"/>
      <c r="J49" s="51"/>
    </row>
    <row r="50" spans="1:10" ht="15.75">
      <c r="A50" s="48" t="s">
        <v>518</v>
      </c>
      <c r="B50" s="137">
        <f>33091+24+18241</f>
        <v>51356</v>
      </c>
      <c r="C50" s="344">
        <v>30367</v>
      </c>
      <c r="D50" s="344">
        <v>29667</v>
      </c>
      <c r="E50" s="137">
        <v>32245</v>
      </c>
      <c r="F50" s="169"/>
      <c r="G50" s="235"/>
      <c r="H50" s="176"/>
      <c r="I50" s="176"/>
      <c r="J50" s="51"/>
    </row>
    <row r="51" spans="1:10" ht="15">
      <c r="A51" s="49" t="s">
        <v>376</v>
      </c>
      <c r="B51" s="137">
        <f>439900-B73-B83</f>
        <v>392685</v>
      </c>
      <c r="C51" s="344">
        <f>342378+45190</f>
        <v>387568</v>
      </c>
      <c r="D51" s="344">
        <f>310360+47901+30000</f>
        <v>388261</v>
      </c>
      <c r="E51" s="137">
        <f>324326+50057</f>
        <v>374383</v>
      </c>
      <c r="F51" s="234"/>
      <c r="G51" s="177"/>
      <c r="H51" s="177"/>
      <c r="I51" s="177"/>
      <c r="J51" s="51"/>
    </row>
    <row r="52" spans="1:10" ht="15">
      <c r="A52" s="42" t="s">
        <v>387</v>
      </c>
      <c r="B52" s="138">
        <f>38846+28+21414</f>
        <v>60288</v>
      </c>
      <c r="C52" s="344">
        <v>31607</v>
      </c>
      <c r="D52" s="344">
        <v>30878</v>
      </c>
      <c r="E52" s="137">
        <v>33561</v>
      </c>
      <c r="F52" s="30"/>
      <c r="G52" s="178"/>
      <c r="H52" s="178"/>
      <c r="I52" s="178"/>
      <c r="J52" s="51"/>
    </row>
    <row r="53" spans="1:10" ht="15.75">
      <c r="A53" s="46" t="s">
        <v>33</v>
      </c>
      <c r="B53" s="130">
        <f>B54+B59</f>
        <v>355389</v>
      </c>
      <c r="C53" s="136">
        <f>C54+C59</f>
        <v>594718</v>
      </c>
      <c r="D53" s="136">
        <f>D54+D59</f>
        <v>448098</v>
      </c>
      <c r="E53" s="146">
        <f>E54+E59</f>
        <v>431481.1499999999</v>
      </c>
      <c r="F53" s="41"/>
      <c r="G53" s="51"/>
      <c r="H53" s="51"/>
      <c r="I53" s="51"/>
      <c r="J53" s="51"/>
    </row>
    <row r="54" spans="1:10" ht="15">
      <c r="A54" s="50" t="s">
        <v>24</v>
      </c>
      <c r="B54" s="130">
        <f>SUM(B55:B58)</f>
        <v>355389</v>
      </c>
      <c r="C54" s="130">
        <f>SUM(C55:C58)</f>
        <v>594718</v>
      </c>
      <c r="D54" s="130">
        <f>SUM(D55:D58)</f>
        <v>448098</v>
      </c>
      <c r="E54" s="143">
        <f>SUM(E55:E58)</f>
        <v>431481.1499999999</v>
      </c>
      <c r="F54" s="41"/>
      <c r="G54" s="179"/>
      <c r="H54" s="179"/>
      <c r="I54" s="179"/>
      <c r="J54" s="51"/>
    </row>
    <row r="55" spans="1:10" ht="15">
      <c r="A55" s="51" t="s">
        <v>388</v>
      </c>
      <c r="B55" s="128">
        <v>286255</v>
      </c>
      <c r="C55" s="160">
        <f>1560647-C56-C57-C84-C48</f>
        <v>329839</v>
      </c>
      <c r="D55" s="160">
        <f>1413151-D56-D57-D84-D48</f>
        <v>332446</v>
      </c>
      <c r="E55" s="160">
        <f>1435324-E56-E57-E84-E48</f>
        <v>312103.1499999999</v>
      </c>
      <c r="F55" s="41"/>
      <c r="G55" s="179"/>
      <c r="H55" s="179"/>
      <c r="I55" s="179"/>
      <c r="J55" s="51"/>
    </row>
    <row r="56" spans="1:10" ht="15">
      <c r="A56" s="28" t="s">
        <v>252</v>
      </c>
      <c r="B56" s="128">
        <v>68644</v>
      </c>
      <c r="C56" s="160">
        <v>254767</v>
      </c>
      <c r="D56" s="160">
        <v>102361</v>
      </c>
      <c r="E56" s="160">
        <v>108503</v>
      </c>
      <c r="F56" s="41"/>
      <c r="G56" s="179">
        <v>0</v>
      </c>
      <c r="H56" s="179"/>
      <c r="I56" s="179"/>
      <c r="J56" s="51"/>
    </row>
    <row r="57" spans="1:10" ht="15">
      <c r="A57" s="28" t="s">
        <v>141</v>
      </c>
      <c r="B57" s="128">
        <v>490</v>
      </c>
      <c r="C57" s="160">
        <v>10112</v>
      </c>
      <c r="D57" s="160">
        <v>13291</v>
      </c>
      <c r="E57" s="160">
        <v>10875</v>
      </c>
      <c r="F57" s="41"/>
      <c r="G57" s="180"/>
      <c r="H57" s="180"/>
      <c r="I57" s="180"/>
      <c r="J57" s="51"/>
    </row>
    <row r="58" spans="1:10" ht="15">
      <c r="A58" s="52" t="s">
        <v>146</v>
      </c>
      <c r="B58" s="129">
        <v>0</v>
      </c>
      <c r="C58" s="161"/>
      <c r="D58" s="161"/>
      <c r="E58" s="75"/>
      <c r="F58" s="41"/>
      <c r="G58" s="181"/>
      <c r="H58" s="181"/>
      <c r="I58" s="181"/>
      <c r="J58" s="51"/>
    </row>
    <row r="59" spans="1:9" ht="15">
      <c r="A59" s="53" t="s">
        <v>242</v>
      </c>
      <c r="B59" s="136">
        <f>B60+B61</f>
        <v>0</v>
      </c>
      <c r="C59" s="223">
        <f>C60+C61</f>
        <v>0</v>
      </c>
      <c r="D59" s="223">
        <f>D60+D61</f>
        <v>0</v>
      </c>
      <c r="E59" s="223">
        <f>E60+E61</f>
        <v>0</v>
      </c>
      <c r="F59" s="41"/>
      <c r="G59" s="41"/>
      <c r="H59" s="41"/>
      <c r="I59" s="41"/>
    </row>
    <row r="60" spans="1:9" ht="15">
      <c r="A60" s="54" t="s">
        <v>375</v>
      </c>
      <c r="B60" s="139">
        <v>0</v>
      </c>
      <c r="C60" s="345">
        <v>0</v>
      </c>
      <c r="D60" s="345">
        <v>0</v>
      </c>
      <c r="E60" s="346">
        <v>0</v>
      </c>
      <c r="F60" s="41"/>
      <c r="G60" s="41"/>
      <c r="H60" s="41"/>
      <c r="I60" s="41"/>
    </row>
    <row r="61" spans="1:9" ht="15">
      <c r="A61" s="52" t="s">
        <v>374</v>
      </c>
      <c r="B61" s="129">
        <v>0</v>
      </c>
      <c r="C61" s="96">
        <v>0</v>
      </c>
      <c r="D61" s="96">
        <v>0</v>
      </c>
      <c r="E61" s="74">
        <v>0</v>
      </c>
      <c r="F61" s="41"/>
      <c r="G61" s="41"/>
      <c r="H61" s="41"/>
      <c r="I61" s="41"/>
    </row>
    <row r="62" spans="1:9" ht="15.75">
      <c r="A62" s="46" t="s">
        <v>27</v>
      </c>
      <c r="B62" s="136">
        <f>SUM(B63:B65)</f>
        <v>0</v>
      </c>
      <c r="C62" s="91">
        <f>SUM(C63:C65)</f>
        <v>0</v>
      </c>
      <c r="D62" s="91">
        <f>SUM(D63:D65)</f>
        <v>0</v>
      </c>
      <c r="E62" s="91">
        <f>SUM(E63:E65)</f>
        <v>0</v>
      </c>
      <c r="F62" s="41"/>
      <c r="G62" s="41"/>
      <c r="H62" s="41"/>
      <c r="I62" s="41"/>
    </row>
    <row r="63" spans="1:9" ht="15">
      <c r="A63" s="28" t="s">
        <v>8</v>
      </c>
      <c r="B63" s="128"/>
      <c r="C63" s="72"/>
      <c r="D63" s="72"/>
      <c r="E63" s="72"/>
      <c r="F63" s="41"/>
      <c r="G63" s="41"/>
      <c r="H63" s="41"/>
      <c r="I63" s="41"/>
    </row>
    <row r="64" spans="1:9" ht="15">
      <c r="A64" s="28" t="s">
        <v>6</v>
      </c>
      <c r="B64" s="128"/>
      <c r="C64" s="72"/>
      <c r="D64" s="72"/>
      <c r="E64" s="72"/>
      <c r="F64" s="41"/>
      <c r="G64" s="41"/>
      <c r="H64" s="41"/>
      <c r="I64" s="41"/>
    </row>
    <row r="65" spans="1:9" ht="15">
      <c r="A65" s="52" t="s">
        <v>7</v>
      </c>
      <c r="B65" s="129"/>
      <c r="C65" s="92"/>
      <c r="D65" s="92"/>
      <c r="E65" s="92"/>
      <c r="F65" s="41"/>
      <c r="G65" s="41"/>
      <c r="H65" s="41"/>
      <c r="I65" s="41"/>
    </row>
    <row r="66" spans="1:9" ht="15.75">
      <c r="A66" s="46" t="s">
        <v>28</v>
      </c>
      <c r="B66" s="136">
        <f>SUM(B67:B69)</f>
        <v>0</v>
      </c>
      <c r="C66" s="91">
        <f>SUM(C67:C69)</f>
        <v>0</v>
      </c>
      <c r="D66" s="91">
        <f>SUM(D67:D69)</f>
        <v>0</v>
      </c>
      <c r="E66" s="94">
        <f>SUM(E67:E69)</f>
        <v>0</v>
      </c>
      <c r="F66" s="41"/>
      <c r="G66" s="41"/>
      <c r="H66" s="41"/>
      <c r="I66" s="41"/>
    </row>
    <row r="67" spans="1:9" ht="15">
      <c r="A67" s="28" t="s">
        <v>8</v>
      </c>
      <c r="B67" s="128">
        <v>0</v>
      </c>
      <c r="C67" s="72">
        <v>0</v>
      </c>
      <c r="D67" s="72">
        <v>0</v>
      </c>
      <c r="E67" s="72">
        <v>0</v>
      </c>
      <c r="F67" s="41"/>
      <c r="G67" s="41"/>
      <c r="H67" s="41"/>
      <c r="I67" s="41"/>
    </row>
    <row r="68" spans="1:9" ht="15">
      <c r="A68" s="28" t="s">
        <v>6</v>
      </c>
      <c r="B68" s="128">
        <v>0</v>
      </c>
      <c r="C68" s="72">
        <v>0</v>
      </c>
      <c r="D68" s="72">
        <v>0</v>
      </c>
      <c r="E68" s="72">
        <v>0</v>
      </c>
      <c r="F68" s="152"/>
      <c r="G68" s="152"/>
      <c r="H68" s="41"/>
      <c r="I68" s="41"/>
    </row>
    <row r="69" spans="1:9" ht="15">
      <c r="A69" s="42" t="s">
        <v>7</v>
      </c>
      <c r="B69" s="128">
        <v>0</v>
      </c>
      <c r="C69" s="73">
        <v>0</v>
      </c>
      <c r="D69" s="73">
        <v>0</v>
      </c>
      <c r="E69" s="73">
        <v>0</v>
      </c>
      <c r="F69" s="152"/>
      <c r="G69" s="152"/>
      <c r="H69" s="41"/>
      <c r="I69" s="41"/>
    </row>
    <row r="70" spans="1:9" ht="16.5" thickBot="1">
      <c r="A70" s="43" t="s">
        <v>331</v>
      </c>
      <c r="B70" s="131">
        <f>B48+B53+B62+B66</f>
        <v>1223822</v>
      </c>
      <c r="C70" s="78">
        <f>C48+C53+C62+C66</f>
        <v>1512824</v>
      </c>
      <c r="D70" s="78">
        <f>D48+D53+D62+D66</f>
        <v>1367394</v>
      </c>
      <c r="E70" s="78">
        <f>E48+E53+E62+E66</f>
        <v>1387279.15</v>
      </c>
      <c r="F70" s="152" t="s">
        <v>511</v>
      </c>
      <c r="G70" s="152"/>
      <c r="H70" s="41"/>
      <c r="I70" s="41"/>
    </row>
    <row r="71" spans="1:9" ht="15.75">
      <c r="A71" s="44" t="s">
        <v>34</v>
      </c>
      <c r="B71" s="132"/>
      <c r="C71" s="82"/>
      <c r="D71" s="82"/>
      <c r="E71" s="82"/>
      <c r="F71" s="41"/>
      <c r="G71" s="41"/>
      <c r="H71" s="41"/>
      <c r="I71" s="41"/>
    </row>
    <row r="72" spans="1:9" ht="15">
      <c r="A72" s="28" t="s">
        <v>268</v>
      </c>
      <c r="B72" s="128">
        <v>10618</v>
      </c>
      <c r="C72" s="81"/>
      <c r="D72" s="81"/>
      <c r="E72" s="81"/>
      <c r="F72" s="41"/>
      <c r="G72" s="41"/>
      <c r="H72" s="41"/>
      <c r="I72" s="41"/>
    </row>
    <row r="73" spans="1:9" ht="15">
      <c r="A73" s="28" t="s">
        <v>327</v>
      </c>
      <c r="B73" s="128">
        <v>20610</v>
      </c>
      <c r="C73" s="81"/>
      <c r="D73" s="81"/>
      <c r="E73" s="81"/>
      <c r="F73" s="41"/>
      <c r="G73" s="41"/>
      <c r="H73" s="41"/>
      <c r="I73" s="41"/>
    </row>
    <row r="74" spans="1:9" ht="15">
      <c r="A74" s="28" t="s">
        <v>351</v>
      </c>
      <c r="B74" s="128"/>
      <c r="C74" s="81"/>
      <c r="D74" s="81"/>
      <c r="E74" s="81"/>
      <c r="F74" s="41"/>
      <c r="G74" s="41"/>
      <c r="H74" s="41"/>
      <c r="I74" s="41"/>
    </row>
    <row r="75" spans="1:9" ht="15">
      <c r="A75" s="28" t="s">
        <v>352</v>
      </c>
      <c r="B75" s="128"/>
      <c r="C75" s="81"/>
      <c r="D75" s="81"/>
      <c r="E75" s="81"/>
      <c r="F75" s="152"/>
      <c r="G75" s="152"/>
      <c r="H75" s="41"/>
      <c r="I75" s="41"/>
    </row>
    <row r="76" spans="1:9" ht="15">
      <c r="A76" s="28" t="s">
        <v>251</v>
      </c>
      <c r="B76" s="128">
        <v>5152</v>
      </c>
      <c r="C76" s="81"/>
      <c r="D76" s="81"/>
      <c r="E76" s="81"/>
      <c r="F76" s="152"/>
      <c r="G76" s="41"/>
      <c r="H76" s="41"/>
      <c r="I76" s="41"/>
    </row>
    <row r="77" spans="1:9" ht="15">
      <c r="A77" s="28" t="s">
        <v>173</v>
      </c>
      <c r="B77" s="128"/>
      <c r="C77" s="81"/>
      <c r="D77" s="81"/>
      <c r="E77" s="81"/>
      <c r="F77" s="152"/>
      <c r="G77" s="41"/>
      <c r="H77" s="41"/>
      <c r="I77" s="41"/>
    </row>
    <row r="78" spans="1:9" ht="15">
      <c r="A78" s="28" t="s">
        <v>145</v>
      </c>
      <c r="B78" s="128">
        <v>7605</v>
      </c>
      <c r="C78" s="81"/>
      <c r="D78" s="81"/>
      <c r="E78" s="81"/>
      <c r="F78" s="41"/>
      <c r="G78" s="41"/>
      <c r="H78" s="41"/>
      <c r="I78" s="41"/>
    </row>
    <row r="79" spans="1:9" ht="15">
      <c r="A79" s="42" t="s">
        <v>139</v>
      </c>
      <c r="B79" s="128"/>
      <c r="C79" s="81"/>
      <c r="D79" s="81"/>
      <c r="E79" s="81"/>
      <c r="F79" s="41"/>
      <c r="G79" s="41"/>
      <c r="H79" s="41"/>
      <c r="I79" s="41"/>
    </row>
    <row r="80" spans="1:9" ht="16.5" thickBot="1">
      <c r="A80" s="43" t="s">
        <v>332</v>
      </c>
      <c r="B80" s="131">
        <f>SUM(B72:B79)</f>
        <v>43985</v>
      </c>
      <c r="C80" s="86"/>
      <c r="D80" s="86"/>
      <c r="E80" s="86"/>
      <c r="F80" s="41"/>
      <c r="G80" s="41"/>
      <c r="H80" s="41"/>
      <c r="I80" s="41"/>
    </row>
    <row r="81" spans="1:9" ht="16.5" thickBot="1">
      <c r="A81" s="45" t="s">
        <v>541</v>
      </c>
      <c r="B81" s="133">
        <f>+B80+B70</f>
        <v>1267807</v>
      </c>
      <c r="C81" s="88"/>
      <c r="D81" s="88"/>
      <c r="E81" s="88"/>
      <c r="F81" s="41"/>
      <c r="G81" s="41"/>
      <c r="H81" s="41"/>
      <c r="I81" s="41"/>
    </row>
    <row r="82" spans="1:9" ht="15.75">
      <c r="A82" s="44" t="s">
        <v>26</v>
      </c>
      <c r="B82" s="130"/>
      <c r="C82" s="77"/>
      <c r="D82" s="77"/>
      <c r="E82" s="77"/>
      <c r="F82" s="41"/>
      <c r="G82" s="41"/>
      <c r="H82" s="41"/>
      <c r="I82" s="41"/>
    </row>
    <row r="83" spans="1:9" ht="15">
      <c r="A83" s="28" t="s">
        <v>8</v>
      </c>
      <c r="B83" s="128">
        <v>26605</v>
      </c>
      <c r="C83" s="160">
        <v>25099</v>
      </c>
      <c r="D83" s="160">
        <f>C83*5%+C83</f>
        <v>26353.95</v>
      </c>
      <c r="E83" s="160">
        <f>D83*5%+D83</f>
        <v>27671.6475</v>
      </c>
      <c r="F83" s="41"/>
      <c r="G83" s="159"/>
      <c r="H83" s="41"/>
      <c r="I83" s="41"/>
    </row>
    <row r="84" spans="1:9" ht="15">
      <c r="A84" s="28" t="s">
        <v>250</v>
      </c>
      <c r="B84" s="128">
        <v>65742</v>
      </c>
      <c r="C84" s="160">
        <v>47823</v>
      </c>
      <c r="D84" s="160">
        <v>45757</v>
      </c>
      <c r="E84" s="160">
        <f>D84*5%+D84</f>
        <v>48044.85</v>
      </c>
      <c r="F84" s="41"/>
      <c r="G84" s="41"/>
      <c r="H84" s="41"/>
      <c r="I84" s="41"/>
    </row>
    <row r="85" spans="1:9" ht="15">
      <c r="A85" s="28" t="s">
        <v>251</v>
      </c>
      <c r="B85" s="128">
        <v>180650</v>
      </c>
      <c r="C85" s="160">
        <v>0</v>
      </c>
      <c r="D85" s="160">
        <v>0</v>
      </c>
      <c r="E85" s="160">
        <f>D85*5%+D85</f>
        <v>0</v>
      </c>
      <c r="F85" s="41"/>
      <c r="G85" s="41"/>
      <c r="H85" s="41"/>
      <c r="I85" s="41"/>
    </row>
    <row r="86" spans="1:9" ht="15">
      <c r="A86" s="28" t="s">
        <v>173</v>
      </c>
      <c r="B86" s="128">
        <v>15502</v>
      </c>
      <c r="C86" s="160">
        <v>0</v>
      </c>
      <c r="D86" s="160">
        <v>0</v>
      </c>
      <c r="E86" s="160">
        <v>0</v>
      </c>
      <c r="F86" s="41"/>
      <c r="G86" s="41"/>
      <c r="H86" s="41"/>
      <c r="I86" s="41"/>
    </row>
    <row r="87" spans="1:9" ht="15">
      <c r="A87" s="28" t="s">
        <v>145</v>
      </c>
      <c r="B87" s="128"/>
      <c r="C87" s="162"/>
      <c r="D87" s="162"/>
      <c r="E87" s="160"/>
      <c r="F87" s="41"/>
      <c r="G87" s="41"/>
      <c r="H87" s="41"/>
      <c r="I87" s="41"/>
    </row>
    <row r="88" spans="1:9" ht="15">
      <c r="A88" s="49" t="s">
        <v>220</v>
      </c>
      <c r="B88" s="128">
        <v>0</v>
      </c>
      <c r="C88" s="162"/>
      <c r="D88" s="162"/>
      <c r="E88" s="72"/>
      <c r="F88" s="41"/>
      <c r="G88" s="41"/>
      <c r="H88" s="41"/>
      <c r="I88" s="41"/>
    </row>
    <row r="89" spans="1:9" ht="16.5" thickBot="1">
      <c r="A89" s="43" t="s">
        <v>333</v>
      </c>
      <c r="B89" s="131">
        <f>SUM(B83:B88)</f>
        <v>288499</v>
      </c>
      <c r="C89" s="78">
        <f>SUM(C83:C88)</f>
        <v>72922</v>
      </c>
      <c r="D89" s="78">
        <f>SUM(D83:D88)</f>
        <v>72110.95</v>
      </c>
      <c r="E89" s="79">
        <f>SUM(E83:E88)</f>
        <v>75716.4975</v>
      </c>
      <c r="F89" s="152"/>
      <c r="G89" s="152"/>
      <c r="H89" s="152"/>
      <c r="I89" s="41"/>
    </row>
    <row r="90" spans="1:9" ht="16.5" thickBot="1">
      <c r="A90" s="55" t="s">
        <v>334</v>
      </c>
      <c r="B90" s="218">
        <f>B81+B89</f>
        <v>1556306</v>
      </c>
      <c r="C90" s="97"/>
      <c r="D90" s="97"/>
      <c r="E90" s="97"/>
      <c r="F90" s="41"/>
      <c r="G90" s="41"/>
      <c r="H90" s="41"/>
      <c r="I90" s="41"/>
    </row>
    <row r="91" spans="1:9" s="237" customFormat="1" ht="16.5" thickBot="1">
      <c r="A91" s="338" t="s">
        <v>335</v>
      </c>
      <c r="B91" s="218">
        <f>B45-B90+B22</f>
        <v>243737</v>
      </c>
      <c r="C91" s="82"/>
      <c r="D91" s="82"/>
      <c r="E91" s="82"/>
      <c r="F91" s="238"/>
      <c r="G91" s="238"/>
      <c r="H91" s="238"/>
      <c r="I91" s="238"/>
    </row>
    <row r="92" spans="1:9" ht="15.75">
      <c r="A92" s="44" t="s">
        <v>353</v>
      </c>
      <c r="B92" s="135"/>
      <c r="C92" s="82"/>
      <c r="D92" s="82"/>
      <c r="E92" s="82"/>
      <c r="F92" s="41"/>
      <c r="G92" s="41"/>
      <c r="H92" s="41"/>
      <c r="I92" s="41"/>
    </row>
    <row r="93" spans="1:9" ht="15.75">
      <c r="A93" s="154" t="s">
        <v>380</v>
      </c>
      <c r="B93" s="163">
        <f>SUM(B94:B99)</f>
        <v>926099</v>
      </c>
      <c r="C93" s="98"/>
      <c r="D93" s="98"/>
      <c r="E93" s="99"/>
      <c r="F93" s="41"/>
      <c r="G93" s="124"/>
      <c r="H93" s="41"/>
      <c r="I93" s="41"/>
    </row>
    <row r="94" spans="1:9" ht="15">
      <c r="A94" s="155" t="s">
        <v>256</v>
      </c>
      <c r="B94" s="128">
        <f>426078-B95</f>
        <v>353720</v>
      </c>
      <c r="C94" s="81"/>
      <c r="D94" s="81"/>
      <c r="E94" s="81"/>
      <c r="F94" s="41"/>
      <c r="G94" s="124"/>
      <c r="H94" s="41"/>
      <c r="I94" s="41"/>
    </row>
    <row r="95" spans="1:9" ht="15">
      <c r="A95" s="155" t="s">
        <v>257</v>
      </c>
      <c r="B95" s="128">
        <f>2784+69574</f>
        <v>72358</v>
      </c>
      <c r="C95" s="81"/>
      <c r="D95" s="81"/>
      <c r="E95" s="81"/>
      <c r="F95" s="41"/>
      <c r="G95" s="41"/>
      <c r="H95" s="41"/>
      <c r="I95" s="41"/>
    </row>
    <row r="96" spans="1:9" ht="15.75">
      <c r="A96" s="156" t="s">
        <v>519</v>
      </c>
      <c r="B96" s="128">
        <v>9278</v>
      </c>
      <c r="C96" s="81"/>
      <c r="D96" s="81"/>
      <c r="E96" s="81"/>
      <c r="F96" s="41"/>
      <c r="G96" s="41"/>
      <c r="H96" s="41"/>
      <c r="I96" s="41"/>
    </row>
    <row r="97" spans="1:9" ht="15">
      <c r="A97" s="155" t="s">
        <v>258</v>
      </c>
      <c r="B97" s="128">
        <v>16957</v>
      </c>
      <c r="C97" s="81"/>
      <c r="D97" s="81"/>
      <c r="E97" s="81"/>
      <c r="F97" s="41"/>
      <c r="G97" s="41"/>
      <c r="H97" s="41"/>
      <c r="I97" s="41"/>
    </row>
    <row r="98" spans="1:9" ht="15">
      <c r="A98" s="155" t="s">
        <v>259</v>
      </c>
      <c r="B98" s="128">
        <v>22681</v>
      </c>
      <c r="C98" s="81"/>
      <c r="D98" s="81"/>
      <c r="E98" s="81"/>
      <c r="F98" s="41"/>
      <c r="G98" s="41"/>
      <c r="H98" s="41"/>
      <c r="I98" s="41"/>
    </row>
    <row r="99" spans="1:9" ht="15">
      <c r="A99" s="157" t="s">
        <v>260</v>
      </c>
      <c r="B99" s="128">
        <f>500021-B96-B97-B98</f>
        <v>451105</v>
      </c>
      <c r="C99" s="81"/>
      <c r="D99" s="81"/>
      <c r="E99" s="81"/>
      <c r="F99" s="41"/>
      <c r="G99" s="41"/>
      <c r="H99" s="41"/>
      <c r="I99" s="41"/>
    </row>
    <row r="100" spans="1:9" ht="15.75">
      <c r="A100" s="46" t="s">
        <v>261</v>
      </c>
      <c r="B100" s="136">
        <f>SUM(B101:B104)</f>
        <v>0</v>
      </c>
      <c r="C100" s="98"/>
      <c r="D100" s="98"/>
      <c r="E100" s="99"/>
      <c r="F100" s="41"/>
      <c r="G100" s="41"/>
      <c r="H100" s="41"/>
      <c r="I100" s="41"/>
    </row>
    <row r="101" spans="1:9" ht="15">
      <c r="A101" s="56" t="s">
        <v>382</v>
      </c>
      <c r="B101" s="140">
        <v>0</v>
      </c>
      <c r="C101" s="100"/>
      <c r="D101" s="100"/>
      <c r="E101" s="101"/>
      <c r="F101" s="41"/>
      <c r="G101" s="41"/>
      <c r="H101" s="41"/>
      <c r="I101" s="41"/>
    </row>
    <row r="102" spans="1:9" ht="15">
      <c r="A102" s="49" t="s">
        <v>383</v>
      </c>
      <c r="B102" s="128">
        <v>0</v>
      </c>
      <c r="C102" s="102"/>
      <c r="D102" s="102"/>
      <c r="E102" s="82"/>
      <c r="F102" s="41"/>
      <c r="G102" s="41"/>
      <c r="H102" s="41"/>
      <c r="I102" s="41"/>
    </row>
    <row r="103" spans="1:9" ht="15">
      <c r="A103" s="57" t="s">
        <v>418</v>
      </c>
      <c r="B103" s="128">
        <v>0</v>
      </c>
      <c r="C103" s="84"/>
      <c r="D103" s="84"/>
      <c r="E103" s="81"/>
      <c r="F103" s="41"/>
      <c r="G103" s="41"/>
      <c r="H103" s="41"/>
      <c r="I103" s="41"/>
    </row>
    <row r="104" spans="1:9" ht="15.75" thickBot="1">
      <c r="A104" s="58" t="s">
        <v>381</v>
      </c>
      <c r="B104" s="141">
        <v>0</v>
      </c>
      <c r="C104" s="104"/>
      <c r="D104" s="104"/>
      <c r="E104" s="105"/>
      <c r="F104" s="41"/>
      <c r="G104" s="41"/>
      <c r="H104" s="41"/>
      <c r="I104" s="41"/>
    </row>
    <row r="105" spans="1:9" ht="15.75">
      <c r="A105" s="44" t="s">
        <v>41</v>
      </c>
      <c r="B105" s="130">
        <f>SUM(B106:B112)</f>
        <v>58423</v>
      </c>
      <c r="C105" s="106"/>
      <c r="D105" s="106"/>
      <c r="E105" s="107"/>
      <c r="F105" s="41"/>
      <c r="G105" s="41"/>
      <c r="H105" s="41"/>
      <c r="I105" s="41"/>
    </row>
    <row r="106" spans="1:9" ht="15">
      <c r="A106" s="28" t="s">
        <v>42</v>
      </c>
      <c r="B106" s="128">
        <v>58423</v>
      </c>
      <c r="C106" s="81"/>
      <c r="D106" s="81"/>
      <c r="E106" s="81"/>
      <c r="F106" s="41"/>
      <c r="G106" s="41"/>
      <c r="H106" s="41"/>
      <c r="I106" s="41"/>
    </row>
    <row r="107" spans="1:9" ht="15">
      <c r="A107" s="28" t="s">
        <v>43</v>
      </c>
      <c r="B107" s="128"/>
      <c r="C107" s="81"/>
      <c r="D107" s="81"/>
      <c r="E107" s="81"/>
      <c r="F107" s="41"/>
      <c r="G107" s="41"/>
      <c r="H107" s="41"/>
      <c r="I107" s="41"/>
    </row>
    <row r="108" spans="1:9" ht="15">
      <c r="A108" s="28" t="s">
        <v>44</v>
      </c>
      <c r="B108" s="128"/>
      <c r="C108" s="81"/>
      <c r="D108" s="81"/>
      <c r="E108" s="81"/>
      <c r="F108" s="41"/>
      <c r="G108" s="41"/>
      <c r="H108" s="41"/>
      <c r="I108" s="41"/>
    </row>
    <row r="109" spans="1:9" ht="15">
      <c r="A109" s="28" t="s">
        <v>46</v>
      </c>
      <c r="B109" s="128"/>
      <c r="C109" s="81"/>
      <c r="D109" s="81"/>
      <c r="E109" s="81"/>
      <c r="F109" s="41"/>
      <c r="G109" s="41"/>
      <c r="H109" s="41"/>
      <c r="I109" s="41"/>
    </row>
    <row r="110" spans="1:9" ht="15">
      <c r="A110" s="28" t="s">
        <v>45</v>
      </c>
      <c r="B110" s="128"/>
      <c r="C110" s="81"/>
      <c r="D110" s="81"/>
      <c r="E110" s="81"/>
      <c r="F110" s="41"/>
      <c r="G110" s="41"/>
      <c r="H110" s="41"/>
      <c r="I110" s="41"/>
    </row>
    <row r="111" spans="1:9" ht="15">
      <c r="A111" s="28" t="s">
        <v>138</v>
      </c>
      <c r="B111" s="128"/>
      <c r="C111" s="81"/>
      <c r="D111" s="81"/>
      <c r="E111" s="81"/>
      <c r="F111" s="41"/>
      <c r="G111" s="41"/>
      <c r="H111" s="41"/>
      <c r="I111" s="41"/>
    </row>
    <row r="112" spans="1:9" ht="15.75" thickBot="1">
      <c r="A112" s="59" t="s">
        <v>198</v>
      </c>
      <c r="B112" s="141"/>
      <c r="C112" s="105"/>
      <c r="D112" s="105"/>
      <c r="E112" s="105"/>
      <c r="F112" s="41"/>
      <c r="G112" s="41"/>
      <c r="H112" s="41"/>
      <c r="I112" s="41"/>
    </row>
    <row r="113" spans="1:9" ht="15.75">
      <c r="A113" s="44" t="s">
        <v>230</v>
      </c>
      <c r="B113" s="130">
        <f>B114+B119</f>
        <v>298613</v>
      </c>
      <c r="C113" s="106"/>
      <c r="D113" s="106"/>
      <c r="E113" s="107"/>
      <c r="F113" s="41"/>
      <c r="G113" s="41"/>
      <c r="H113" s="41"/>
      <c r="I113" s="41"/>
    </row>
    <row r="114" spans="1:9" ht="15.75">
      <c r="A114" s="46" t="s">
        <v>226</v>
      </c>
      <c r="B114" s="136">
        <f>SUM(B115:B118)</f>
        <v>298613</v>
      </c>
      <c r="C114" s="98"/>
      <c r="D114" s="98"/>
      <c r="E114" s="99"/>
      <c r="F114" s="41"/>
      <c r="G114" s="41"/>
      <c r="H114" s="41"/>
      <c r="I114" s="41"/>
    </row>
    <row r="115" spans="1:9" ht="15.75">
      <c r="A115" s="27" t="s">
        <v>520</v>
      </c>
      <c r="B115" s="128">
        <v>28174</v>
      </c>
      <c r="C115" s="81"/>
      <c r="D115" s="81"/>
      <c r="E115" s="81"/>
      <c r="F115" s="41"/>
      <c r="G115" s="41"/>
      <c r="H115" s="41"/>
      <c r="I115" s="41"/>
    </row>
    <row r="116" spans="1:9" ht="15">
      <c r="A116" s="28" t="s">
        <v>249</v>
      </c>
      <c r="B116" s="128">
        <v>254447</v>
      </c>
      <c r="C116" s="81"/>
      <c r="D116" s="81"/>
      <c r="E116" s="81"/>
      <c r="F116" s="41"/>
      <c r="G116" s="41"/>
      <c r="H116" s="41"/>
      <c r="I116" s="41"/>
    </row>
    <row r="117" spans="1:9" ht="15">
      <c r="A117" s="28" t="s">
        <v>231</v>
      </c>
      <c r="B117" s="128">
        <v>15992</v>
      </c>
      <c r="C117" s="81"/>
      <c r="D117" s="81"/>
      <c r="E117" s="81"/>
      <c r="F117" s="41"/>
      <c r="G117" s="41"/>
      <c r="H117" s="41"/>
      <c r="I117" s="41"/>
    </row>
    <row r="118" spans="1:9" ht="15">
      <c r="A118" s="52" t="s">
        <v>354</v>
      </c>
      <c r="B118" s="129">
        <v>0</v>
      </c>
      <c r="C118" s="83"/>
      <c r="D118" s="83"/>
      <c r="E118" s="83"/>
      <c r="F118" s="41"/>
      <c r="G118" s="41"/>
      <c r="H118" s="41"/>
      <c r="I118" s="41"/>
    </row>
    <row r="119" spans="1:9" ht="15.75">
      <c r="A119" s="46" t="s">
        <v>227</v>
      </c>
      <c r="B119" s="136">
        <f>SUM(B120:B122)</f>
        <v>0</v>
      </c>
      <c r="C119" s="98"/>
      <c r="D119" s="98"/>
      <c r="E119" s="99"/>
      <c r="F119" s="41"/>
      <c r="G119" s="41"/>
      <c r="H119" s="41"/>
      <c r="I119" s="41"/>
    </row>
    <row r="120" spans="1:9" ht="15">
      <c r="A120" s="28" t="s">
        <v>228</v>
      </c>
      <c r="B120" s="128"/>
      <c r="C120" s="81"/>
      <c r="D120" s="81"/>
      <c r="E120" s="81"/>
      <c r="F120" s="41"/>
      <c r="G120" s="41"/>
      <c r="H120" s="41"/>
      <c r="I120" s="41"/>
    </row>
    <row r="121" spans="1:9" ht="15">
      <c r="A121" s="28" t="s">
        <v>229</v>
      </c>
      <c r="B121" s="128"/>
      <c r="C121" s="81"/>
      <c r="D121" s="81"/>
      <c r="E121" s="81"/>
      <c r="F121" s="41"/>
      <c r="G121" s="41"/>
      <c r="H121" s="41"/>
      <c r="I121" s="41"/>
    </row>
    <row r="122" spans="1:9" ht="15.75" thickBot="1">
      <c r="A122" s="59" t="s">
        <v>198</v>
      </c>
      <c r="B122" s="141"/>
      <c r="C122" s="105"/>
      <c r="D122" s="105"/>
      <c r="E122" s="105"/>
      <c r="F122" s="41"/>
      <c r="G122" s="41"/>
      <c r="H122" s="41"/>
      <c r="I122" s="41"/>
    </row>
    <row r="123" spans="1:9" ht="15.75">
      <c r="A123" s="44" t="s">
        <v>29</v>
      </c>
      <c r="B123" s="142">
        <f>SUM(B124:B125)</f>
        <v>28057</v>
      </c>
      <c r="C123" s="76">
        <f>SUM(C124:C125)</f>
        <v>0</v>
      </c>
      <c r="D123" s="76">
        <f>SUM(D124:D125)</f>
        <v>0</v>
      </c>
      <c r="E123" s="76">
        <f>SUM(E124:E125)</f>
        <v>0</v>
      </c>
      <c r="F123" s="41"/>
      <c r="G123" s="41"/>
      <c r="H123" s="41"/>
      <c r="I123" s="41"/>
    </row>
    <row r="124" spans="1:9" ht="15">
      <c r="A124" s="28" t="s">
        <v>269</v>
      </c>
      <c r="B124" s="128">
        <v>26931</v>
      </c>
      <c r="C124" s="72"/>
      <c r="D124" s="72"/>
      <c r="E124" s="72"/>
      <c r="F124" s="41"/>
      <c r="G124" s="41"/>
      <c r="H124" s="41"/>
      <c r="I124" s="41"/>
    </row>
    <row r="125" spans="1:9" ht="15">
      <c r="A125" s="42" t="s">
        <v>270</v>
      </c>
      <c r="B125" s="129">
        <v>1126</v>
      </c>
      <c r="C125" s="74"/>
      <c r="D125" s="74"/>
      <c r="E125" s="74"/>
      <c r="F125" s="41"/>
      <c r="G125" s="41"/>
      <c r="H125" s="41"/>
      <c r="I125" s="41"/>
    </row>
    <row r="126" spans="1:9" ht="15.75">
      <c r="A126" s="46" t="s">
        <v>329</v>
      </c>
      <c r="B126" s="129">
        <v>405361</v>
      </c>
      <c r="C126" s="74"/>
      <c r="D126" s="74"/>
      <c r="E126" s="74"/>
      <c r="F126" s="41"/>
      <c r="G126" s="41"/>
      <c r="H126" s="41"/>
      <c r="I126" s="41"/>
    </row>
    <row r="127" spans="1:9" ht="15.75">
      <c r="A127" s="46" t="s">
        <v>188</v>
      </c>
      <c r="B127" s="341">
        <f>32839+38358</f>
        <v>71197</v>
      </c>
      <c r="C127" s="108"/>
      <c r="D127" s="108"/>
      <c r="E127" s="108"/>
      <c r="F127" s="41"/>
      <c r="G127" s="41"/>
      <c r="H127" s="41"/>
      <c r="I127" s="41"/>
    </row>
    <row r="128" spans="1:9" ht="15.75" customHeight="1">
      <c r="A128" s="46" t="s">
        <v>187</v>
      </c>
      <c r="B128" s="341">
        <v>191918</v>
      </c>
      <c r="C128" s="108"/>
      <c r="D128" s="108"/>
      <c r="E128" s="108"/>
      <c r="F128" s="41"/>
      <c r="G128" s="41"/>
      <c r="H128" s="41"/>
      <c r="I128" s="41"/>
    </row>
    <row r="129" spans="1:5" ht="15.75">
      <c r="A129" s="46" t="s">
        <v>526</v>
      </c>
      <c r="B129" s="170">
        <f>SUM(B130:B131)</f>
        <v>1144732</v>
      </c>
      <c r="C129" s="91">
        <f>SUM(C130:C131)</f>
        <v>0</v>
      </c>
      <c r="D129" s="91">
        <f>SUM(D130:D131)</f>
        <v>0</v>
      </c>
      <c r="E129" s="91">
        <f>SUM(E130:E131)</f>
        <v>0</v>
      </c>
    </row>
    <row r="130" spans="1:5" ht="15">
      <c r="A130" s="28" t="s">
        <v>271</v>
      </c>
      <c r="B130" s="128">
        <v>1143836</v>
      </c>
      <c r="C130" s="72"/>
      <c r="D130" s="72"/>
      <c r="E130" s="72"/>
    </row>
    <row r="131" spans="1:5" ht="15">
      <c r="A131" s="42" t="s">
        <v>272</v>
      </c>
      <c r="B131" s="138">
        <v>896</v>
      </c>
      <c r="C131" s="74"/>
      <c r="D131" s="74"/>
      <c r="E131" s="74"/>
    </row>
    <row r="132" spans="1:5" ht="16.5" thickBot="1">
      <c r="A132" s="55" t="s">
        <v>397</v>
      </c>
      <c r="B132" s="151">
        <v>0</v>
      </c>
      <c r="C132" s="103">
        <v>0</v>
      </c>
      <c r="D132" s="103">
        <v>0</v>
      </c>
      <c r="E132" s="109">
        <v>0</v>
      </c>
    </row>
    <row r="133" spans="1:5" ht="15.75">
      <c r="A133" s="44" t="s">
        <v>185</v>
      </c>
      <c r="B133" s="143">
        <f>SUM(B134:B135)</f>
        <v>0</v>
      </c>
      <c r="C133" s="77">
        <f>SUM(C134:C135)</f>
        <v>0</v>
      </c>
      <c r="D133" s="77">
        <f>SUM(D134:D135)</f>
        <v>0</v>
      </c>
      <c r="E133" s="77">
        <f>SUM(E134:E135)</f>
        <v>0</v>
      </c>
    </row>
    <row r="134" spans="1:5" ht="15">
      <c r="A134" s="28" t="s">
        <v>348</v>
      </c>
      <c r="B134" s="137">
        <v>0</v>
      </c>
      <c r="C134" s="73">
        <v>0</v>
      </c>
      <c r="D134" s="73">
        <v>0</v>
      </c>
      <c r="E134" s="110">
        <v>0</v>
      </c>
    </row>
    <row r="135" spans="1:9" ht="15.75" thickBot="1">
      <c r="A135" s="60" t="s">
        <v>140</v>
      </c>
      <c r="B135" s="144"/>
      <c r="C135" s="111"/>
      <c r="D135" s="111"/>
      <c r="E135" s="112"/>
      <c r="F135" s="41"/>
      <c r="G135" s="41"/>
      <c r="H135" s="41"/>
      <c r="I135" s="41"/>
    </row>
    <row r="136" spans="1:5" ht="16.5" thickBot="1">
      <c r="A136" s="45" t="s">
        <v>398</v>
      </c>
      <c r="B136" s="145"/>
      <c r="C136" s="113"/>
      <c r="D136" s="113"/>
      <c r="E136" s="114"/>
    </row>
    <row r="137" spans="1:5" ht="15.75">
      <c r="A137" s="61" t="s">
        <v>403</v>
      </c>
      <c r="B137" s="132">
        <f>SUM(B138:B139)</f>
        <v>0</v>
      </c>
      <c r="C137" s="80">
        <f>SUM(C138:C139)</f>
        <v>0</v>
      </c>
      <c r="D137" s="80">
        <f>SUM(D138:D139)</f>
        <v>0</v>
      </c>
      <c r="E137" s="80">
        <f>SUM(E138:E139)</f>
        <v>0</v>
      </c>
    </row>
    <row r="138" spans="1:5" ht="15">
      <c r="A138" s="28" t="s">
        <v>286</v>
      </c>
      <c r="B138" s="137"/>
      <c r="C138" s="72"/>
      <c r="D138" s="72"/>
      <c r="E138" s="115"/>
    </row>
    <row r="139" spans="1:5" ht="15.75">
      <c r="A139" s="40" t="s">
        <v>537</v>
      </c>
      <c r="B139" s="138"/>
      <c r="C139" s="74"/>
      <c r="D139" s="74"/>
      <c r="E139" s="116"/>
    </row>
    <row r="140" spans="1:5" ht="15.75">
      <c r="A140" s="44" t="s">
        <v>485</v>
      </c>
      <c r="B140" s="143">
        <f>SUM(B141:B142)</f>
        <v>0</v>
      </c>
      <c r="C140" s="77">
        <f>SUM(C141:C142)</f>
        <v>0</v>
      </c>
      <c r="D140" s="77">
        <f>SUM(D141:D142)</f>
        <v>0</v>
      </c>
      <c r="E140" s="77">
        <f>SUM(E141:E142)</f>
        <v>0</v>
      </c>
    </row>
    <row r="141" spans="1:5" ht="15">
      <c r="A141" s="28" t="s">
        <v>286</v>
      </c>
      <c r="B141" s="140"/>
      <c r="C141" s="95"/>
      <c r="D141" s="95"/>
      <c r="E141" s="117"/>
    </row>
    <row r="142" spans="1:5" ht="15.75">
      <c r="A142" s="40" t="s">
        <v>537</v>
      </c>
      <c r="B142" s="138"/>
      <c r="C142" s="74"/>
      <c r="D142" s="74"/>
      <c r="E142" s="116"/>
    </row>
    <row r="143" spans="1:5" ht="15.75">
      <c r="A143" s="44" t="s">
        <v>406</v>
      </c>
      <c r="B143" s="143">
        <f>SUM(B144:B145)</f>
        <v>0</v>
      </c>
      <c r="C143" s="107">
        <f>SUM(C144:C145)</f>
        <v>0</v>
      </c>
      <c r="D143" s="107">
        <f>SUM(D144:D145)</f>
        <v>0</v>
      </c>
      <c r="E143" s="107">
        <f>SUM(E144:E145)</f>
        <v>0</v>
      </c>
    </row>
    <row r="144" spans="1:5" ht="15">
      <c r="A144" s="28" t="s">
        <v>286</v>
      </c>
      <c r="B144" s="137"/>
      <c r="C144" s="81"/>
      <c r="D144" s="81"/>
      <c r="E144" s="118"/>
    </row>
    <row r="145" spans="1:9" ht="15.75">
      <c r="A145" s="27" t="s">
        <v>537</v>
      </c>
      <c r="B145" s="137"/>
      <c r="C145" s="81"/>
      <c r="D145" s="81"/>
      <c r="E145" s="118"/>
      <c r="F145" s="41"/>
      <c r="G145" s="41"/>
      <c r="H145" s="41"/>
      <c r="I145" s="41"/>
    </row>
    <row r="146" spans="1:9" ht="15">
      <c r="A146" s="53" t="s">
        <v>407</v>
      </c>
      <c r="B146" s="146">
        <f>B137+B140+B143</f>
        <v>0</v>
      </c>
      <c r="C146" s="93">
        <f>C137+C140+C143</f>
        <v>0</v>
      </c>
      <c r="D146" s="93">
        <f>D137+D140+D143</f>
        <v>0</v>
      </c>
      <c r="E146" s="93">
        <f>E137+E140+E143</f>
        <v>0</v>
      </c>
      <c r="F146" s="41"/>
      <c r="G146" s="41"/>
      <c r="H146" s="41"/>
      <c r="I146" s="41"/>
    </row>
    <row r="147" spans="1:9" ht="15">
      <c r="A147" s="28" t="s">
        <v>404</v>
      </c>
      <c r="B147" s="137"/>
      <c r="C147" s="72"/>
      <c r="D147" s="72"/>
      <c r="E147" s="115"/>
      <c r="F147" s="41"/>
      <c r="G147" s="41"/>
      <c r="H147" s="41"/>
      <c r="I147" s="41"/>
    </row>
    <row r="148" spans="1:9" ht="15">
      <c r="A148" s="62" t="s">
        <v>405</v>
      </c>
      <c r="B148" s="138"/>
      <c r="C148" s="74"/>
      <c r="D148" s="74"/>
      <c r="E148" s="116"/>
      <c r="F148" s="41"/>
      <c r="G148" s="41"/>
      <c r="H148" s="41"/>
      <c r="I148" s="41"/>
    </row>
    <row r="149" spans="1:9" ht="15.75" thickBot="1">
      <c r="A149" s="63" t="s">
        <v>408</v>
      </c>
      <c r="B149" s="147">
        <f>SUM(B147:B148)</f>
        <v>0</v>
      </c>
      <c r="C149" s="119">
        <f>SUM(C147:C148)</f>
        <v>0</v>
      </c>
      <c r="D149" s="119">
        <f>SUM(D147:D148)</f>
        <v>0</v>
      </c>
      <c r="E149" s="119">
        <f>SUM(E147:E148)</f>
        <v>0</v>
      </c>
      <c r="F149" s="41"/>
      <c r="G149" s="41"/>
      <c r="H149" s="41"/>
      <c r="I149" s="41"/>
    </row>
    <row r="150" spans="1:9" ht="15">
      <c r="A150" s="64" t="s">
        <v>234</v>
      </c>
      <c r="B150" s="137"/>
      <c r="C150" s="81"/>
      <c r="D150" s="81"/>
      <c r="E150" s="118"/>
      <c r="F150" s="41"/>
      <c r="G150" s="41"/>
      <c r="H150" s="41"/>
      <c r="I150" s="41"/>
    </row>
    <row r="151" spans="1:9" ht="15">
      <c r="A151" s="64" t="s">
        <v>235</v>
      </c>
      <c r="B151" s="137"/>
      <c r="C151" s="81"/>
      <c r="D151" s="81"/>
      <c r="E151" s="118"/>
      <c r="F151" s="41"/>
      <c r="G151" s="41"/>
      <c r="H151" s="41"/>
      <c r="I151" s="41"/>
    </row>
    <row r="152" spans="1:9" ht="15.75" thickBot="1">
      <c r="A152" s="65" t="s">
        <v>233</v>
      </c>
      <c r="B152" s="148">
        <v>12994</v>
      </c>
      <c r="C152" s="105"/>
      <c r="D152" s="105"/>
      <c r="E152" s="120"/>
      <c r="F152" s="41"/>
      <c r="G152" s="41"/>
      <c r="H152" s="41"/>
      <c r="I152" s="41"/>
    </row>
    <row r="153" spans="1:9" ht="15">
      <c r="A153" s="64" t="s">
        <v>236</v>
      </c>
      <c r="B153" s="137"/>
      <c r="C153" s="81"/>
      <c r="D153" s="81"/>
      <c r="E153" s="118"/>
      <c r="F153" s="41"/>
      <c r="G153" s="41"/>
      <c r="H153" s="41"/>
      <c r="I153" s="41"/>
    </row>
    <row r="154" spans="1:9" ht="15">
      <c r="A154" s="64" t="s">
        <v>273</v>
      </c>
      <c r="B154" s="137"/>
      <c r="C154" s="81"/>
      <c r="D154" s="81"/>
      <c r="E154" s="118"/>
      <c r="F154" s="41"/>
      <c r="G154" s="41"/>
      <c r="H154" s="41"/>
      <c r="I154" s="41"/>
    </row>
    <row r="155" spans="1:9" ht="15.75" thickBot="1">
      <c r="A155" s="58" t="s">
        <v>237</v>
      </c>
      <c r="B155" s="148"/>
      <c r="C155" s="105"/>
      <c r="D155" s="105"/>
      <c r="E155" s="120"/>
      <c r="F155" s="41"/>
      <c r="G155" s="41"/>
      <c r="H155" s="41"/>
      <c r="I155" s="41"/>
    </row>
    <row r="156" spans="1:9" ht="15">
      <c r="A156" s="64" t="s">
        <v>399</v>
      </c>
      <c r="B156" s="137"/>
      <c r="C156" s="81"/>
      <c r="D156" s="81"/>
      <c r="E156" s="118"/>
      <c r="F156" s="41"/>
      <c r="G156" s="41"/>
      <c r="H156" s="41"/>
      <c r="I156" s="41"/>
    </row>
    <row r="157" spans="1:9" ht="15.75" thickBot="1">
      <c r="A157" s="65" t="s">
        <v>400</v>
      </c>
      <c r="B157" s="148"/>
      <c r="C157" s="105"/>
      <c r="D157" s="105"/>
      <c r="E157" s="120"/>
      <c r="F157" s="41"/>
      <c r="G157" s="41"/>
      <c r="H157" s="41"/>
      <c r="I157" s="41"/>
    </row>
    <row r="158" spans="1:9" ht="15.75">
      <c r="A158" s="27" t="s">
        <v>172</v>
      </c>
      <c r="B158" s="138">
        <v>942220</v>
      </c>
      <c r="C158" s="75"/>
      <c r="D158" s="75"/>
      <c r="E158" s="75"/>
      <c r="F158" s="41"/>
      <c r="G158" s="41"/>
      <c r="H158" s="41"/>
      <c r="I158" s="41"/>
    </row>
    <row r="159" spans="1:9" ht="15.75">
      <c r="A159" s="27" t="s">
        <v>328</v>
      </c>
      <c r="B159" s="138">
        <v>443175</v>
      </c>
      <c r="C159" s="75"/>
      <c r="D159" s="75"/>
      <c r="E159" s="75"/>
      <c r="F159" s="41"/>
      <c r="G159" s="41"/>
      <c r="H159" s="41"/>
      <c r="I159" s="41"/>
    </row>
    <row r="160" spans="1:9" ht="16.5" thickBot="1">
      <c r="A160" s="66" t="s">
        <v>199</v>
      </c>
      <c r="B160" s="121">
        <f>+B158-B159</f>
        <v>499045</v>
      </c>
      <c r="C160" s="121">
        <f>+C158-C159</f>
        <v>0</v>
      </c>
      <c r="D160" s="75" t="s">
        <v>507</v>
      </c>
      <c r="E160" s="75" t="s">
        <v>507</v>
      </c>
      <c r="F160" s="41"/>
      <c r="G160" s="41"/>
      <c r="H160" s="41"/>
      <c r="I160" s="41"/>
    </row>
    <row r="161" spans="1:9" ht="16.5" thickBot="1">
      <c r="A161" s="45" t="s">
        <v>35</v>
      </c>
      <c r="B161" s="153" t="s">
        <v>439</v>
      </c>
      <c r="C161" s="122"/>
      <c r="D161" s="122"/>
      <c r="E161" s="122"/>
      <c r="F161" s="41"/>
      <c r="G161" s="41"/>
      <c r="H161" s="41"/>
      <c r="I161" s="41"/>
    </row>
    <row r="162" spans="1:9" ht="15.75">
      <c r="A162" s="27" t="s">
        <v>10</v>
      </c>
      <c r="B162" s="149">
        <f>B169+B177</f>
        <v>3098957</v>
      </c>
      <c r="C162" s="122"/>
      <c r="D162" s="122"/>
      <c r="E162" s="122"/>
      <c r="F162" s="41"/>
      <c r="G162" s="41"/>
      <c r="H162" s="41"/>
      <c r="I162" s="41"/>
    </row>
    <row r="163" spans="1:9" ht="15.75">
      <c r="A163" s="27" t="s">
        <v>521</v>
      </c>
      <c r="B163" s="137">
        <v>970755</v>
      </c>
      <c r="C163" s="122"/>
      <c r="D163" s="122"/>
      <c r="E163" s="122"/>
      <c r="F163" s="41"/>
      <c r="G163" s="41"/>
      <c r="H163" s="41"/>
      <c r="I163" s="41"/>
    </row>
    <row r="164" spans="1:9" ht="15">
      <c r="A164" s="28" t="s">
        <v>531</v>
      </c>
      <c r="B164" s="224">
        <v>8969</v>
      </c>
      <c r="C164" s="122"/>
      <c r="D164" s="122"/>
      <c r="E164" s="122"/>
      <c r="F164" s="41"/>
      <c r="G164" s="41"/>
      <c r="H164" s="41"/>
      <c r="I164" s="41"/>
    </row>
    <row r="165" spans="1:9" ht="15">
      <c r="A165" s="28" t="s">
        <v>53</v>
      </c>
      <c r="B165" s="137">
        <f>528557+3000+3775</f>
        <v>535332</v>
      </c>
      <c r="C165" s="122"/>
      <c r="D165" s="122"/>
      <c r="E165" s="122"/>
      <c r="F165" s="41"/>
      <c r="G165" s="41"/>
      <c r="H165" s="41"/>
      <c r="I165" s="41"/>
    </row>
    <row r="166" spans="1:9" ht="15">
      <c r="A166" s="28" t="s">
        <v>246</v>
      </c>
      <c r="B166" s="224">
        <v>0</v>
      </c>
      <c r="C166" s="122"/>
      <c r="D166" s="122"/>
      <c r="E166" s="122"/>
      <c r="F166" s="41"/>
      <c r="G166" s="41"/>
      <c r="H166" s="41"/>
      <c r="I166" s="41"/>
    </row>
    <row r="167" spans="1:9" ht="15">
      <c r="A167" s="28" t="s">
        <v>54</v>
      </c>
      <c r="B167" s="137">
        <f>144497+13257+258123</f>
        <v>415877</v>
      </c>
      <c r="C167" s="122"/>
      <c r="D167" s="122"/>
      <c r="E167" s="122"/>
      <c r="F167" s="41"/>
      <c r="G167" s="41"/>
      <c r="H167" s="41"/>
      <c r="I167" s="41"/>
    </row>
    <row r="168" spans="1:9" ht="15">
      <c r="A168" s="28" t="s">
        <v>11</v>
      </c>
      <c r="B168" s="137">
        <v>0</v>
      </c>
      <c r="C168" s="122"/>
      <c r="D168" s="122"/>
      <c r="E168" s="122"/>
      <c r="F168" s="41"/>
      <c r="G168" s="41"/>
      <c r="H168" s="41"/>
      <c r="I168" s="41"/>
    </row>
    <row r="169" spans="2:9" ht="15.75">
      <c r="B169" s="150">
        <f>SUM(B163:B168)</f>
        <v>1930933</v>
      </c>
      <c r="C169" s="122"/>
      <c r="D169" s="122"/>
      <c r="E169" s="122"/>
      <c r="F169" s="41"/>
      <c r="G169" s="41"/>
      <c r="H169" s="41"/>
      <c r="I169" s="41"/>
    </row>
    <row r="170" spans="1:9" ht="15.75">
      <c r="A170" s="27" t="s">
        <v>522</v>
      </c>
      <c r="B170" s="137">
        <v>0</v>
      </c>
      <c r="C170" s="122"/>
      <c r="D170" s="122"/>
      <c r="E170" s="122"/>
      <c r="F170" s="41"/>
      <c r="G170" s="41"/>
      <c r="H170" s="41"/>
      <c r="I170" s="41"/>
    </row>
    <row r="171" spans="1:9" ht="15">
      <c r="A171" s="28" t="s">
        <v>287</v>
      </c>
      <c r="B171" s="137">
        <f>213443+12217</f>
        <v>225660</v>
      </c>
      <c r="C171" s="122"/>
      <c r="D171" s="122"/>
      <c r="E171" s="122"/>
      <c r="F171" s="41"/>
      <c r="G171" s="41"/>
      <c r="H171" s="41"/>
      <c r="I171" s="41"/>
    </row>
    <row r="172" spans="1:9" ht="15">
      <c r="A172" s="28" t="s">
        <v>288</v>
      </c>
      <c r="B172" s="137">
        <v>0</v>
      </c>
      <c r="C172" s="122"/>
      <c r="D172" s="122"/>
      <c r="E172" s="122"/>
      <c r="F172" s="41"/>
      <c r="G172" s="41"/>
      <c r="H172" s="41"/>
      <c r="I172" s="41"/>
    </row>
    <row r="173" spans="1:9" ht="15">
      <c r="A173" s="28" t="s">
        <v>289</v>
      </c>
      <c r="B173" s="137">
        <v>0</v>
      </c>
      <c r="C173" s="122"/>
      <c r="D173" s="122"/>
      <c r="E173" s="122"/>
      <c r="F173" s="41"/>
      <c r="G173" s="41"/>
      <c r="H173" s="41"/>
      <c r="I173" s="41"/>
    </row>
    <row r="174" spans="1:9" ht="15">
      <c r="A174" s="28" t="s">
        <v>290</v>
      </c>
      <c r="B174" s="137">
        <v>0</v>
      </c>
      <c r="C174" s="122"/>
      <c r="D174" s="122"/>
      <c r="E174" s="122"/>
      <c r="F174" s="41"/>
      <c r="G174" s="41"/>
      <c r="H174" s="41"/>
      <c r="I174" s="41"/>
    </row>
    <row r="175" spans="1:9" ht="15">
      <c r="A175" s="28" t="s">
        <v>274</v>
      </c>
      <c r="B175" s="137">
        <v>942220</v>
      </c>
      <c r="C175" s="122"/>
      <c r="D175" s="122"/>
      <c r="E175" s="122"/>
      <c r="F175" s="41"/>
      <c r="G175" s="41"/>
      <c r="H175" s="41"/>
      <c r="I175" s="41"/>
    </row>
    <row r="176" spans="1:9" ht="15">
      <c r="A176" s="28" t="s">
        <v>544</v>
      </c>
      <c r="B176" s="137">
        <v>144</v>
      </c>
      <c r="C176" s="122"/>
      <c r="D176" s="122"/>
      <c r="E176" s="122"/>
      <c r="F176" s="41"/>
      <c r="G176" s="41"/>
      <c r="H176" s="41"/>
      <c r="I176" s="41"/>
    </row>
    <row r="177" spans="1:9" ht="15.75">
      <c r="A177" s="42"/>
      <c r="B177" s="150">
        <f>SUM(B170:B176)</f>
        <v>1168024</v>
      </c>
      <c r="C177" s="122"/>
      <c r="D177" s="122"/>
      <c r="E177" s="122"/>
      <c r="F177" s="41"/>
      <c r="G177" s="41"/>
      <c r="H177" s="41"/>
      <c r="I177" s="41"/>
    </row>
    <row r="178" spans="1:9" ht="15.75">
      <c r="A178" s="27" t="s">
        <v>262</v>
      </c>
      <c r="B178" s="150">
        <f>B179+B187+B193</f>
        <v>3098958</v>
      </c>
      <c r="C178" s="122"/>
      <c r="D178" s="122"/>
      <c r="E178" s="122"/>
      <c r="F178" s="41"/>
      <c r="G178" s="41"/>
      <c r="H178" s="41"/>
      <c r="I178" s="41"/>
    </row>
    <row r="179" spans="1:9" ht="15.75">
      <c r="A179" s="27" t="s">
        <v>263</v>
      </c>
      <c r="B179" s="150">
        <f>SUM(B180:B186)</f>
        <v>1272602</v>
      </c>
      <c r="C179" s="122"/>
      <c r="D179" s="122"/>
      <c r="E179" s="122"/>
      <c r="F179" s="41"/>
      <c r="G179" s="41"/>
      <c r="H179" s="41"/>
      <c r="I179" s="41"/>
    </row>
    <row r="180" spans="1:9" ht="15">
      <c r="A180" s="28" t="s">
        <v>444</v>
      </c>
      <c r="B180" s="137">
        <v>1044165</v>
      </c>
      <c r="C180" s="122"/>
      <c r="D180" s="122"/>
      <c r="E180" s="122"/>
      <c r="F180" s="41"/>
      <c r="G180" s="41"/>
      <c r="H180" s="41"/>
      <c r="I180" s="41"/>
    </row>
    <row r="181" spans="1:9" ht="15">
      <c r="A181" s="28" t="s">
        <v>180</v>
      </c>
      <c r="B181" s="137">
        <v>-4479</v>
      </c>
      <c r="C181" s="122"/>
      <c r="D181" s="122"/>
      <c r="E181" s="122"/>
      <c r="F181" s="41"/>
      <c r="G181" s="41"/>
      <c r="H181" s="41"/>
      <c r="I181" s="41"/>
    </row>
    <row r="182" spans="1:9" ht="15">
      <c r="A182" s="28" t="s">
        <v>346</v>
      </c>
      <c r="B182" s="137"/>
      <c r="C182" s="122"/>
      <c r="D182" s="122"/>
      <c r="E182" s="122"/>
      <c r="F182" s="41"/>
      <c r="G182" s="41"/>
      <c r="H182" s="41"/>
      <c r="I182" s="41"/>
    </row>
    <row r="183" spans="1:9" ht="15">
      <c r="A183" s="28" t="s">
        <v>181</v>
      </c>
      <c r="B183" s="137">
        <v>31569</v>
      </c>
      <c r="C183" s="122"/>
      <c r="D183" s="122"/>
      <c r="E183" s="122"/>
      <c r="F183" s="41"/>
      <c r="G183" s="41"/>
      <c r="H183" s="41"/>
      <c r="I183" s="41"/>
    </row>
    <row r="184" spans="1:9" ht="15">
      <c r="A184" s="28" t="s">
        <v>182</v>
      </c>
      <c r="B184" s="137"/>
      <c r="C184" s="122"/>
      <c r="D184" s="122"/>
      <c r="E184" s="122"/>
      <c r="F184" s="41"/>
      <c r="G184" s="41"/>
      <c r="H184" s="41"/>
      <c r="I184" s="41"/>
    </row>
    <row r="185" spans="1:9" ht="15">
      <c r="A185" s="28" t="s">
        <v>179</v>
      </c>
      <c r="B185" s="137">
        <f>7030+195360</f>
        <v>202390</v>
      </c>
      <c r="C185" s="122"/>
      <c r="D185" s="122"/>
      <c r="E185" s="122"/>
      <c r="F185" s="41"/>
      <c r="G185" s="41"/>
      <c r="H185" s="41"/>
      <c r="I185" s="41"/>
    </row>
    <row r="186" spans="1:9" ht="15">
      <c r="A186" s="28" t="s">
        <v>183</v>
      </c>
      <c r="B186" s="137">
        <v>-1043</v>
      </c>
      <c r="C186" s="122"/>
      <c r="D186" s="122"/>
      <c r="E186" s="122"/>
      <c r="F186" s="41"/>
      <c r="G186" s="41"/>
      <c r="H186" s="41"/>
      <c r="I186" s="41"/>
    </row>
    <row r="187" spans="1:9" ht="15.75">
      <c r="A187" s="27" t="s">
        <v>147</v>
      </c>
      <c r="B187" s="150">
        <f>SUM(B188:B192)</f>
        <v>1246507</v>
      </c>
      <c r="C187" s="122"/>
      <c r="D187" s="122"/>
      <c r="E187" s="122"/>
      <c r="F187" s="41"/>
      <c r="G187" s="41"/>
      <c r="H187" s="41"/>
      <c r="I187" s="41"/>
    </row>
    <row r="188" spans="1:9" ht="15">
      <c r="A188" s="28" t="s">
        <v>492</v>
      </c>
      <c r="B188" s="137">
        <v>0</v>
      </c>
      <c r="C188" s="122"/>
      <c r="D188" s="122"/>
      <c r="E188" s="122"/>
      <c r="F188" s="41"/>
      <c r="G188" s="41"/>
      <c r="H188" s="41"/>
      <c r="I188" s="41"/>
    </row>
    <row r="189" spans="1:9" ht="15">
      <c r="A189" s="28" t="s">
        <v>493</v>
      </c>
      <c r="B189" s="137">
        <v>94</v>
      </c>
      <c r="C189" s="122"/>
      <c r="D189" s="122"/>
      <c r="E189" s="122"/>
      <c r="F189" s="41"/>
      <c r="G189" s="41"/>
      <c r="H189" s="41"/>
      <c r="I189" s="41"/>
    </row>
    <row r="190" spans="1:9" ht="15">
      <c r="A190" s="28" t="s">
        <v>494</v>
      </c>
      <c r="B190" s="137"/>
      <c r="C190" s="122"/>
      <c r="D190" s="122"/>
      <c r="E190" s="122"/>
      <c r="F190" s="41"/>
      <c r="G190" s="41"/>
      <c r="H190" s="41"/>
      <c r="I190" s="41"/>
    </row>
    <row r="191" spans="1:9" ht="15">
      <c r="A191" s="28" t="s">
        <v>495</v>
      </c>
      <c r="B191" s="137">
        <v>292371</v>
      </c>
      <c r="C191" s="122"/>
      <c r="D191" s="122"/>
      <c r="E191" s="122"/>
      <c r="F191" s="41"/>
      <c r="G191" s="41"/>
      <c r="H191" s="41"/>
      <c r="I191" s="41"/>
    </row>
    <row r="192" spans="1:9" ht="15">
      <c r="A192" s="28" t="s">
        <v>491</v>
      </c>
      <c r="B192" s="137">
        <f>123565+560027+270450</f>
        <v>954042</v>
      </c>
      <c r="C192" s="122"/>
      <c r="D192" s="122"/>
      <c r="E192" s="122"/>
      <c r="F192" s="41"/>
      <c r="G192" s="41"/>
      <c r="H192" s="41"/>
      <c r="I192" s="41"/>
    </row>
    <row r="193" spans="1:9" ht="15.75">
      <c r="A193" s="27" t="s">
        <v>148</v>
      </c>
      <c r="B193" s="150">
        <f>SUM(B194:B199)</f>
        <v>579849</v>
      </c>
      <c r="C193" s="122"/>
      <c r="D193" s="122"/>
      <c r="E193" s="122"/>
      <c r="F193" s="41"/>
      <c r="G193" s="41"/>
      <c r="H193" s="41"/>
      <c r="I193" s="41"/>
    </row>
    <row r="194" spans="1:9" ht="15">
      <c r="A194" s="28" t="s">
        <v>536</v>
      </c>
      <c r="B194" s="137">
        <f>324152-B195</f>
        <v>271613</v>
      </c>
      <c r="C194" s="122"/>
      <c r="D194" s="122"/>
      <c r="E194" s="122"/>
      <c r="F194" s="41"/>
      <c r="G194" s="41"/>
      <c r="H194" s="41"/>
      <c r="I194" s="41"/>
    </row>
    <row r="195" spans="1:9" ht="15">
      <c r="A195" s="28" t="s">
        <v>291</v>
      </c>
      <c r="B195" s="137">
        <f>15263+37276</f>
        <v>52539</v>
      </c>
      <c r="C195" s="122"/>
      <c r="D195" s="122"/>
      <c r="E195" s="122"/>
      <c r="F195" s="41"/>
      <c r="G195" s="41"/>
      <c r="H195" s="41"/>
      <c r="I195" s="41"/>
    </row>
    <row r="196" spans="1:9" ht="15">
      <c r="A196" s="28" t="s">
        <v>292</v>
      </c>
      <c r="B196" s="137">
        <v>0</v>
      </c>
      <c r="C196" s="122"/>
      <c r="D196" s="122"/>
      <c r="E196" s="122"/>
      <c r="F196" s="41"/>
      <c r="G196" s="41"/>
      <c r="H196" s="41"/>
      <c r="I196" s="41"/>
    </row>
    <row r="197" spans="1:9" ht="15">
      <c r="A197" s="28" t="s">
        <v>496</v>
      </c>
      <c r="B197" s="137">
        <v>0</v>
      </c>
      <c r="C197" s="122"/>
      <c r="D197" s="122"/>
      <c r="E197" s="122"/>
      <c r="F197" s="41"/>
      <c r="G197" s="41"/>
      <c r="H197" s="41"/>
      <c r="I197" s="41"/>
    </row>
    <row r="198" spans="1:9" ht="15">
      <c r="A198" s="28" t="s">
        <v>543</v>
      </c>
      <c r="B198" s="137">
        <v>293</v>
      </c>
      <c r="C198" s="122"/>
      <c r="D198" s="122"/>
      <c r="E198" s="122"/>
      <c r="F198" s="41"/>
      <c r="G198" s="41"/>
      <c r="H198" s="41"/>
      <c r="I198" s="41"/>
    </row>
    <row r="199" spans="1:9" ht="15">
      <c r="A199" s="42" t="s">
        <v>293</v>
      </c>
      <c r="B199" s="138">
        <f>24807+23945+200888+5764</f>
        <v>255404</v>
      </c>
      <c r="C199" s="122"/>
      <c r="D199" s="122"/>
      <c r="E199" s="122"/>
      <c r="F199" s="41"/>
      <c r="G199" s="41"/>
      <c r="H199" s="41"/>
      <c r="I199" s="41"/>
    </row>
    <row r="200" spans="1:9" ht="15.75">
      <c r="A200" s="46" t="s">
        <v>530</v>
      </c>
      <c r="B200" s="342">
        <v>69094</v>
      </c>
      <c r="C200" s="122"/>
      <c r="D200" s="122"/>
      <c r="E200" s="122"/>
      <c r="F200" s="41"/>
      <c r="G200" s="41"/>
      <c r="H200" s="41"/>
      <c r="I200" s="41"/>
    </row>
    <row r="201" spans="1:9" ht="15.75">
      <c r="A201" s="46" t="s">
        <v>523</v>
      </c>
      <c r="B201" s="342">
        <f>456474+3595</f>
        <v>460069</v>
      </c>
      <c r="C201" s="122"/>
      <c r="D201" s="122"/>
      <c r="E201" s="122"/>
      <c r="F201" s="41"/>
      <c r="G201" s="41"/>
      <c r="H201" s="41"/>
      <c r="I201" s="41"/>
    </row>
    <row r="202" spans="1:9" ht="15.75">
      <c r="A202" s="44" t="s">
        <v>524</v>
      </c>
      <c r="B202" s="342">
        <f>432517+4664</f>
        <v>437181</v>
      </c>
      <c r="C202" s="122"/>
      <c r="D202" s="122"/>
      <c r="E202" s="122"/>
      <c r="F202" s="41"/>
      <c r="G202" s="41"/>
      <c r="H202" s="41"/>
      <c r="I202" s="41"/>
    </row>
    <row r="203" spans="1:9" ht="15.75">
      <c r="A203" s="158" t="s">
        <v>248</v>
      </c>
      <c r="B203" s="225">
        <v>0</v>
      </c>
      <c r="C203" s="122"/>
      <c r="D203" s="122"/>
      <c r="E203" s="122"/>
      <c r="F203" s="41"/>
      <c r="G203" s="41"/>
      <c r="H203" s="41"/>
      <c r="I203" s="41"/>
    </row>
    <row r="204" spans="1:5" ht="15.75">
      <c r="A204" s="27" t="s">
        <v>445</v>
      </c>
      <c r="B204" s="219"/>
      <c r="C204" s="123"/>
      <c r="D204" s="123"/>
      <c r="E204" s="123"/>
    </row>
    <row r="205" spans="1:5" ht="15.75">
      <c r="A205" s="46" t="s">
        <v>502</v>
      </c>
      <c r="B205" s="220"/>
      <c r="C205" s="123"/>
      <c r="D205" s="123"/>
      <c r="E205" s="123"/>
    </row>
    <row r="206" spans="1:5" ht="15">
      <c r="A206" s="51" t="s">
        <v>452</v>
      </c>
      <c r="B206" s="220">
        <f>SUPPLEMENTARY!B13</f>
        <v>494412</v>
      </c>
      <c r="C206" s="123"/>
      <c r="D206" s="123"/>
      <c r="E206" s="123"/>
    </row>
    <row r="207" spans="1:5" ht="15">
      <c r="A207" s="28" t="s">
        <v>446</v>
      </c>
      <c r="B207" s="220">
        <f>SUPPLEMENTARY!C13</f>
        <v>47186</v>
      </c>
      <c r="C207" s="123"/>
      <c r="D207" s="123"/>
      <c r="E207" s="123"/>
    </row>
    <row r="208" spans="1:5" ht="15">
      <c r="A208" s="28" t="s">
        <v>447</v>
      </c>
      <c r="B208" s="220">
        <f>SUPPLEMENTARY!D13</f>
        <v>0</v>
      </c>
      <c r="C208" s="123"/>
      <c r="D208" s="123"/>
      <c r="E208" s="123"/>
    </row>
    <row r="209" spans="1:5" ht="15">
      <c r="A209" s="67" t="s">
        <v>448</v>
      </c>
      <c r="B209" s="220">
        <f>SUPPLEMENTARY!E13</f>
        <v>25435</v>
      </c>
      <c r="C209" s="123"/>
      <c r="D209" s="123"/>
      <c r="E209" s="123"/>
    </row>
    <row r="210" spans="1:5" ht="15">
      <c r="A210" s="67" t="s">
        <v>538</v>
      </c>
      <c r="B210" s="220">
        <f>SUPPLEMENTARY!F13</f>
        <v>28024</v>
      </c>
      <c r="C210" s="123"/>
      <c r="D210" s="123"/>
      <c r="E210" s="123"/>
    </row>
    <row r="211" spans="1:5" ht="15">
      <c r="A211" s="28" t="s">
        <v>449</v>
      </c>
      <c r="B211" s="220">
        <f>SUPPLEMENTARY!G13</f>
        <v>0</v>
      </c>
      <c r="C211" s="123"/>
      <c r="D211" s="123"/>
      <c r="E211" s="123"/>
    </row>
    <row r="212" spans="1:5" ht="15">
      <c r="A212" s="42" t="s">
        <v>450</v>
      </c>
      <c r="B212" s="220">
        <f>SUPPLEMENTARY!H13</f>
        <v>0</v>
      </c>
      <c r="C212" s="123"/>
      <c r="D212" s="123"/>
      <c r="E212" s="123"/>
    </row>
    <row r="213" spans="1:5" ht="15.75">
      <c r="A213" s="27" t="s">
        <v>451</v>
      </c>
      <c r="B213" s="220">
        <f>SUPPLEMENTARY!I13</f>
        <v>595057</v>
      </c>
      <c r="C213" s="123"/>
      <c r="D213" s="123"/>
      <c r="E213" s="123"/>
    </row>
    <row r="214" spans="1:5" ht="15.75">
      <c r="A214" s="68" t="s">
        <v>55</v>
      </c>
      <c r="B214" s="220"/>
      <c r="C214" s="123"/>
      <c r="D214" s="123"/>
      <c r="E214" s="123"/>
    </row>
    <row r="215" spans="1:5" ht="15">
      <c r="A215" s="51" t="s">
        <v>452</v>
      </c>
      <c r="B215" s="220">
        <f>SUPPLEMENTARY!B$14</f>
        <v>26605</v>
      </c>
      <c r="C215" s="123"/>
      <c r="D215" s="123"/>
      <c r="E215" s="123"/>
    </row>
    <row r="216" spans="1:5" ht="15">
      <c r="A216" s="28" t="s">
        <v>446</v>
      </c>
      <c r="B216" s="220">
        <f>SUPPLEMENTARY!$C$14</f>
        <v>37894</v>
      </c>
      <c r="C216" s="123"/>
      <c r="D216" s="123"/>
      <c r="E216" s="123"/>
    </row>
    <row r="217" spans="1:5" ht="15">
      <c r="A217" s="28" t="s">
        <v>447</v>
      </c>
      <c r="B217" s="220">
        <f>SUPPLEMENTARY!D14</f>
        <v>0</v>
      </c>
      <c r="C217" s="123"/>
      <c r="D217" s="123"/>
      <c r="E217" s="123"/>
    </row>
    <row r="218" spans="1:5" ht="15">
      <c r="A218" s="67" t="s">
        <v>448</v>
      </c>
      <c r="B218" s="220">
        <f>SUPPLEMENTARY!E14</f>
        <v>8032</v>
      </c>
      <c r="C218" s="123"/>
      <c r="D218" s="123"/>
      <c r="E218" s="123"/>
    </row>
    <row r="219" spans="1:5" ht="15">
      <c r="A219" s="67" t="s">
        <v>538</v>
      </c>
      <c r="B219" s="220">
        <f>SUPPLEMENTARY!F14</f>
        <v>8850</v>
      </c>
      <c r="C219" s="123"/>
      <c r="D219" s="123"/>
      <c r="E219" s="123"/>
    </row>
    <row r="220" spans="1:5" ht="15">
      <c r="A220" s="28" t="s">
        <v>449</v>
      </c>
      <c r="B220" s="220" t="str">
        <f>SUPPLEMENTARY!G14</f>
        <v> </v>
      </c>
      <c r="C220" s="123"/>
      <c r="D220" s="123"/>
      <c r="E220" s="123"/>
    </row>
    <row r="221" spans="1:5" ht="15">
      <c r="A221" s="49" t="s">
        <v>450</v>
      </c>
      <c r="B221" s="220">
        <f>SUPPLEMENTARY!H14</f>
        <v>0</v>
      </c>
      <c r="C221" s="123"/>
      <c r="D221" s="123"/>
      <c r="E221" s="123"/>
    </row>
    <row r="222" spans="1:5" ht="15.75">
      <c r="A222" s="68" t="s">
        <v>451</v>
      </c>
      <c r="B222" s="146">
        <f>SUPPLEMENTARY!I14</f>
        <v>81381</v>
      </c>
      <c r="C222" s="123"/>
      <c r="D222" s="123"/>
      <c r="E222" s="123"/>
    </row>
    <row r="223" spans="1:5" ht="15.75">
      <c r="A223" s="68" t="s">
        <v>481</v>
      </c>
      <c r="B223" s="146"/>
      <c r="C223" s="123"/>
      <c r="D223" s="123"/>
      <c r="E223" s="123"/>
    </row>
    <row r="224" spans="1:5" ht="15">
      <c r="A224" s="51" t="s">
        <v>452</v>
      </c>
      <c r="B224" s="220">
        <f>SUPPLEMENTARY!B15</f>
        <v>377360</v>
      </c>
      <c r="C224" s="123"/>
      <c r="D224" s="123"/>
      <c r="E224" s="123"/>
    </row>
    <row r="225" spans="1:5" ht="15">
      <c r="A225" s="28" t="s">
        <v>446</v>
      </c>
      <c r="B225" s="220">
        <f>SUPPLEMENTARY!C15</f>
        <v>308706</v>
      </c>
      <c r="C225" s="123"/>
      <c r="D225" s="123"/>
      <c r="E225" s="123"/>
    </row>
    <row r="226" spans="1:5" ht="15">
      <c r="A226" s="28" t="s">
        <v>447</v>
      </c>
      <c r="B226" s="220">
        <f>SUPPLEMENTARY!D15</f>
        <v>58423</v>
      </c>
      <c r="C226" s="123"/>
      <c r="D226" s="123"/>
      <c r="E226" s="123"/>
    </row>
    <row r="227" spans="1:5" ht="15">
      <c r="A227" s="67" t="s">
        <v>448</v>
      </c>
      <c r="B227" s="220">
        <f>SUPPLEMENTARY!E15</f>
        <v>6693</v>
      </c>
      <c r="C227" s="123"/>
      <c r="D227" s="123"/>
      <c r="E227" s="123"/>
    </row>
    <row r="228" spans="1:5" ht="15">
      <c r="A228" s="67" t="s">
        <v>538</v>
      </c>
      <c r="B228" s="220">
        <f>SUPPLEMENTARY!F15</f>
        <v>7375</v>
      </c>
      <c r="C228" s="123"/>
      <c r="D228" s="123"/>
      <c r="E228" s="123"/>
    </row>
    <row r="229" spans="1:5" ht="15">
      <c r="A229" s="28" t="s">
        <v>449</v>
      </c>
      <c r="B229" s="220">
        <f>SUPPLEMENTARY!G15</f>
        <v>28174</v>
      </c>
      <c r="C229" s="123"/>
      <c r="D229" s="123"/>
      <c r="E229" s="123"/>
    </row>
    <row r="230" spans="1:5" ht="15">
      <c r="A230" s="42" t="s">
        <v>450</v>
      </c>
      <c r="B230" s="220">
        <f>SUPPLEMENTARY!H15</f>
        <v>119</v>
      </c>
      <c r="C230" s="123"/>
      <c r="D230" s="123"/>
      <c r="E230" s="123"/>
    </row>
    <row r="231" spans="1:5" ht="15.75">
      <c r="A231" s="46" t="s">
        <v>451</v>
      </c>
      <c r="B231" s="146">
        <f>SUPPLEMENTARY!I15</f>
        <v>786850</v>
      </c>
      <c r="C231" s="123"/>
      <c r="D231" s="123"/>
      <c r="E231" s="123"/>
    </row>
    <row r="232" spans="1:5" ht="15.75">
      <c r="A232" s="46" t="s">
        <v>486</v>
      </c>
      <c r="B232" s="146"/>
      <c r="C232" s="123"/>
      <c r="D232" s="123"/>
      <c r="E232" s="123"/>
    </row>
    <row r="233" spans="1:5" ht="15">
      <c r="A233" s="51" t="s">
        <v>452</v>
      </c>
      <c r="B233" s="220">
        <f>SUPPLEMENTARY!B16</f>
        <v>27721</v>
      </c>
      <c r="C233" s="123"/>
      <c r="D233" s="123"/>
      <c r="E233" s="123"/>
    </row>
    <row r="234" spans="1:5" ht="15">
      <c r="A234" s="28" t="s">
        <v>446</v>
      </c>
      <c r="B234" s="220">
        <f>SUPPLEMENTARY!C16</f>
        <v>9024</v>
      </c>
      <c r="C234" s="123"/>
      <c r="D234" s="123"/>
      <c r="E234" s="123"/>
    </row>
    <row r="235" spans="1:5" ht="15">
      <c r="A235" s="28" t="s">
        <v>447</v>
      </c>
      <c r="B235" s="220">
        <f>SUPPLEMENTARY!D16</f>
        <v>0</v>
      </c>
      <c r="C235" s="123"/>
      <c r="D235" s="123"/>
      <c r="E235" s="123"/>
    </row>
    <row r="236" spans="1:5" ht="15">
      <c r="A236" s="67" t="s">
        <v>448</v>
      </c>
      <c r="B236" s="220">
        <f>SUPPLEMENTARY!E16</f>
        <v>26774</v>
      </c>
      <c r="C236" s="123"/>
      <c r="D236" s="123"/>
      <c r="E236" s="123"/>
    </row>
    <row r="237" spans="1:5" ht="15">
      <c r="A237" s="67" t="s">
        <v>538</v>
      </c>
      <c r="B237" s="220">
        <f>SUPPLEMENTARY!F$16</f>
        <v>29499</v>
      </c>
      <c r="C237" s="123"/>
      <c r="D237" s="123"/>
      <c r="E237" s="123"/>
    </row>
    <row r="238" spans="1:5" ht="15">
      <c r="A238" s="42" t="s">
        <v>450</v>
      </c>
      <c r="B238" s="220">
        <f>SUPPLEMENTARY!H$16</f>
        <v>0</v>
      </c>
      <c r="C238" s="123"/>
      <c r="D238" s="123"/>
      <c r="E238" s="123"/>
    </row>
    <row r="239" spans="1:5" ht="15.75">
      <c r="A239" s="27" t="s">
        <v>451</v>
      </c>
      <c r="B239" s="146">
        <f>SUPPLEMENTARY!I$16</f>
        <v>93018</v>
      </c>
      <c r="C239" s="123"/>
      <c r="D239" s="123"/>
      <c r="E239" s="123"/>
    </row>
    <row r="240" spans="1:5" ht="15.75">
      <c r="A240" s="68" t="s">
        <v>56</v>
      </c>
      <c r="B240" s="146"/>
      <c r="C240" s="123"/>
      <c r="D240" s="123"/>
      <c r="E240" s="123"/>
    </row>
    <row r="241" spans="1:5" ht="15">
      <c r="A241" s="51" t="s">
        <v>452</v>
      </c>
      <c r="B241" s="220">
        <f>SUPPLEMENTARY!B$17</f>
        <v>0</v>
      </c>
      <c r="C241" s="123"/>
      <c r="D241" s="123"/>
      <c r="E241" s="123"/>
    </row>
    <row r="242" spans="1:5" ht="15">
      <c r="A242" s="28" t="s">
        <v>446</v>
      </c>
      <c r="B242" s="220">
        <f>SUPPLEMENTARY!C$17</f>
        <v>0</v>
      </c>
      <c r="C242" s="123"/>
      <c r="D242" s="123"/>
      <c r="E242" s="123"/>
    </row>
    <row r="243" spans="1:5" ht="15">
      <c r="A243" s="28" t="s">
        <v>447</v>
      </c>
      <c r="B243" s="220">
        <f>SUPPLEMENTARY!D$17</f>
        <v>0</v>
      </c>
      <c r="C243" s="123"/>
      <c r="D243" s="123"/>
      <c r="E243" s="123"/>
    </row>
    <row r="244" spans="1:5" ht="15">
      <c r="A244" s="67" t="s">
        <v>448</v>
      </c>
      <c r="B244" s="220">
        <f>SUPPLEMENTARY!E$17</f>
        <v>0</v>
      </c>
      <c r="C244" s="123"/>
      <c r="D244" s="123"/>
      <c r="E244" s="123"/>
    </row>
    <row r="245" spans="1:5" ht="15">
      <c r="A245" s="67" t="s">
        <v>538</v>
      </c>
      <c r="B245" s="220">
        <f>SUPPLEMENTARY!F$17</f>
        <v>0</v>
      </c>
      <c r="C245" s="123"/>
      <c r="D245" s="123"/>
      <c r="E245" s="123"/>
    </row>
    <row r="246" spans="1:5" ht="15">
      <c r="A246" s="42" t="s">
        <v>450</v>
      </c>
      <c r="B246" s="220">
        <f>SUPPLEMENTARY!H$17</f>
        <v>0</v>
      </c>
      <c r="C246" s="123"/>
      <c r="D246" s="123"/>
      <c r="E246" s="123"/>
    </row>
    <row r="247" spans="1:5" ht="15.75">
      <c r="A247" s="27" t="s">
        <v>451</v>
      </c>
      <c r="B247" s="146">
        <f>SUPPLEMENTARY!I$17</f>
        <v>0</v>
      </c>
      <c r="C247" s="123"/>
      <c r="D247" s="123"/>
      <c r="E247" s="123"/>
    </row>
    <row r="248" spans="1:5" ht="15.75">
      <c r="A248" s="68" t="s">
        <v>57</v>
      </c>
      <c r="B248" s="146"/>
      <c r="C248" s="123"/>
      <c r="D248" s="123"/>
      <c r="E248" s="123"/>
    </row>
    <row r="249" spans="1:5" ht="15">
      <c r="A249" s="51" t="s">
        <v>452</v>
      </c>
      <c r="B249" s="220">
        <f>SUPPLEMENTARY!B$18</f>
        <v>0</v>
      </c>
      <c r="C249" s="123"/>
      <c r="D249" s="123"/>
      <c r="E249" s="123"/>
    </row>
    <row r="250" spans="1:5" ht="15">
      <c r="A250" s="28" t="s">
        <v>446</v>
      </c>
      <c r="B250" s="220">
        <f>SUPPLEMENTARY!C18</f>
        <v>0</v>
      </c>
      <c r="C250" s="123"/>
      <c r="D250" s="123"/>
      <c r="E250" s="123"/>
    </row>
    <row r="251" spans="1:5" ht="15">
      <c r="A251" s="28" t="s">
        <v>447</v>
      </c>
      <c r="B251" s="220">
        <f>SUPPLEMENTARY!D18</f>
        <v>0</v>
      </c>
      <c r="C251" s="123"/>
      <c r="D251" s="123"/>
      <c r="E251" s="123"/>
    </row>
    <row r="252" spans="1:5" ht="15">
      <c r="A252" s="67" t="s">
        <v>448</v>
      </c>
      <c r="B252" s="220">
        <f>SUPPLEMENTARY!E18</f>
        <v>0</v>
      </c>
      <c r="C252" s="123"/>
      <c r="D252" s="123"/>
      <c r="E252" s="123"/>
    </row>
    <row r="253" spans="1:5" ht="15">
      <c r="A253" s="67" t="s">
        <v>538</v>
      </c>
      <c r="B253" s="220">
        <f>SUPPLEMENTARY!F18</f>
        <v>0</v>
      </c>
      <c r="C253" s="123"/>
      <c r="D253" s="123"/>
      <c r="E253" s="123"/>
    </row>
    <row r="254" spans="1:5" ht="15">
      <c r="A254" s="42" t="s">
        <v>450</v>
      </c>
      <c r="B254" s="220">
        <f>SUPPLEMENTARY!H18</f>
        <v>0</v>
      </c>
      <c r="C254" s="123"/>
      <c r="D254" s="123"/>
      <c r="E254" s="123"/>
    </row>
    <row r="255" spans="1:5" ht="15.75">
      <c r="A255" s="44" t="s">
        <v>451</v>
      </c>
      <c r="B255" s="146"/>
      <c r="C255" s="123"/>
      <c r="D255" s="123"/>
      <c r="E255" s="123"/>
    </row>
    <row r="256" spans="1:5" ht="15.75">
      <c r="A256" s="40" t="s">
        <v>453</v>
      </c>
      <c r="B256" s="146">
        <f>SUPPLEMENTARY!I19</f>
        <v>1556306</v>
      </c>
      <c r="C256" s="123"/>
      <c r="D256" s="123"/>
      <c r="E256" s="123"/>
    </row>
    <row r="257" spans="1:5" ht="15.75">
      <c r="A257" s="46" t="s">
        <v>542</v>
      </c>
      <c r="B257" s="220"/>
      <c r="C257" s="123"/>
      <c r="D257" s="123"/>
      <c r="E257" s="123"/>
    </row>
    <row r="258" spans="1:5" ht="15.75">
      <c r="A258" s="46" t="s">
        <v>108</v>
      </c>
      <c r="B258" s="220"/>
      <c r="C258" s="123"/>
      <c r="D258" s="123"/>
      <c r="E258" s="123"/>
    </row>
    <row r="259" spans="1:5" ht="15.75">
      <c r="A259" s="46" t="s">
        <v>460</v>
      </c>
      <c r="B259" s="220"/>
      <c r="C259" s="123"/>
      <c r="D259" s="123"/>
      <c r="E259" s="123"/>
    </row>
    <row r="260" spans="1:5" ht="15">
      <c r="A260" s="28" t="s">
        <v>454</v>
      </c>
      <c r="B260" s="221">
        <f>SUPPLEMENTARY!C30</f>
        <v>0</v>
      </c>
      <c r="C260" s="123"/>
      <c r="D260" s="123"/>
      <c r="E260" s="123"/>
    </row>
    <row r="261" spans="1:5" ht="15">
      <c r="A261" s="28" t="s">
        <v>482</v>
      </c>
      <c r="B261" s="222">
        <f>SUPPLEMENTARY!D$30</f>
        <v>0</v>
      </c>
      <c r="C261" s="123"/>
      <c r="D261" s="123"/>
      <c r="E261" s="123"/>
    </row>
    <row r="262" spans="1:5" ht="15">
      <c r="A262" s="28" t="s">
        <v>455</v>
      </c>
      <c r="B262" s="222">
        <f>SUPPLEMENTARY!E$30</f>
        <v>0</v>
      </c>
      <c r="C262" s="123"/>
      <c r="D262" s="123"/>
      <c r="E262" s="123"/>
    </row>
    <row r="263" spans="1:5" ht="15">
      <c r="A263" s="28" t="s">
        <v>456</v>
      </c>
      <c r="B263" s="222">
        <f>SUPPLEMENTARY!F$30</f>
        <v>0</v>
      </c>
      <c r="C263" s="123"/>
      <c r="D263" s="123"/>
      <c r="E263" s="123"/>
    </row>
    <row r="264" spans="1:5" ht="15">
      <c r="A264" s="28" t="s">
        <v>457</v>
      </c>
      <c r="B264" s="222">
        <f>SUPPLEMENTARY!G$30</f>
        <v>0</v>
      </c>
      <c r="C264" s="123"/>
      <c r="D264" s="123"/>
      <c r="E264" s="123"/>
    </row>
    <row r="265" spans="1:5" ht="15">
      <c r="A265" s="28" t="s">
        <v>458</v>
      </c>
      <c r="B265" s="222" t="str">
        <f>SUPPLEMENTARY!H$30</f>
        <v> </v>
      </c>
      <c r="C265" s="123"/>
      <c r="D265" s="123"/>
      <c r="E265" s="123"/>
    </row>
    <row r="266" spans="1:5" ht="15">
      <c r="A266" s="52" t="s">
        <v>459</v>
      </c>
      <c r="B266" s="143" t="str">
        <f>SUPPLEMENTARY!I30</f>
        <v> </v>
      </c>
      <c r="C266" s="123"/>
      <c r="D266" s="123"/>
      <c r="E266" s="123"/>
    </row>
    <row r="267" spans="1:5" ht="15.75">
      <c r="A267" s="46" t="s">
        <v>461</v>
      </c>
      <c r="B267" s="220"/>
      <c r="C267" s="123"/>
      <c r="D267" s="123"/>
      <c r="E267" s="123"/>
    </row>
    <row r="268" spans="1:5" ht="15">
      <c r="A268" s="28" t="s">
        <v>454</v>
      </c>
      <c r="B268" s="222">
        <f>SUPPLEMENTARY!C$31</f>
        <v>0</v>
      </c>
      <c r="C268" s="123"/>
      <c r="D268" s="123"/>
      <c r="E268" s="123"/>
    </row>
    <row r="269" spans="1:5" ht="15">
      <c r="A269" s="28" t="s">
        <v>482</v>
      </c>
      <c r="B269" s="222">
        <f>SUPPLEMENTARY!D$31</f>
        <v>0</v>
      </c>
      <c r="C269" s="123"/>
      <c r="D269" s="123"/>
      <c r="E269" s="123"/>
    </row>
    <row r="270" spans="1:5" ht="15">
      <c r="A270" s="28" t="s">
        <v>455</v>
      </c>
      <c r="B270" s="222">
        <f>SUPPLEMENTARY!E$31</f>
        <v>0</v>
      </c>
      <c r="C270" s="123"/>
      <c r="D270" s="123"/>
      <c r="E270" s="123"/>
    </row>
    <row r="271" spans="1:5" ht="15">
      <c r="A271" s="28" t="s">
        <v>456</v>
      </c>
      <c r="B271" s="222">
        <f>SUPPLEMENTARY!F$31</f>
        <v>0</v>
      </c>
      <c r="C271" s="123"/>
      <c r="D271" s="123"/>
      <c r="E271" s="123"/>
    </row>
    <row r="272" spans="1:5" ht="15">
      <c r="A272" s="28" t="s">
        <v>457</v>
      </c>
      <c r="B272" s="222">
        <f>SUPPLEMENTARY!G$31</f>
        <v>0</v>
      </c>
      <c r="C272" s="123"/>
      <c r="D272" s="123"/>
      <c r="E272" s="123"/>
    </row>
    <row r="273" spans="1:5" ht="15">
      <c r="A273" s="28" t="s">
        <v>458</v>
      </c>
      <c r="B273" s="222">
        <f>SUPPLEMENTARY!H$31</f>
        <v>0</v>
      </c>
      <c r="C273" s="123"/>
      <c r="D273" s="123"/>
      <c r="E273" s="123"/>
    </row>
    <row r="274" spans="1:5" ht="15">
      <c r="A274" s="52" t="s">
        <v>459</v>
      </c>
      <c r="B274" s="222">
        <f>SUPPLEMENTARY!I$31</f>
        <v>0</v>
      </c>
      <c r="C274" s="123"/>
      <c r="D274" s="123"/>
      <c r="E274" s="123"/>
    </row>
    <row r="275" spans="1:5" ht="15.75">
      <c r="A275" s="46" t="s">
        <v>462</v>
      </c>
      <c r="B275" s="222"/>
      <c r="C275" s="123"/>
      <c r="D275" s="123"/>
      <c r="E275" s="123"/>
    </row>
    <row r="276" spans="1:5" ht="15">
      <c r="A276" s="28" t="s">
        <v>454</v>
      </c>
      <c r="B276" s="222">
        <f>SUPPLEMENTARY!C$32</f>
        <v>2790</v>
      </c>
      <c r="C276" s="123"/>
      <c r="D276" s="123"/>
      <c r="E276" s="123"/>
    </row>
    <row r="277" spans="1:5" ht="15">
      <c r="A277" s="28" t="s">
        <v>482</v>
      </c>
      <c r="B277" s="222">
        <f>SUPPLEMENTARY!D$32</f>
        <v>0</v>
      </c>
      <c r="C277" s="123"/>
      <c r="D277" s="123"/>
      <c r="E277" s="123"/>
    </row>
    <row r="278" spans="1:5" ht="15">
      <c r="A278" s="28" t="s">
        <v>455</v>
      </c>
      <c r="B278" s="222">
        <f>SUPPLEMENTARY!E$32</f>
        <v>0</v>
      </c>
      <c r="C278" s="123"/>
      <c r="D278" s="123"/>
      <c r="E278" s="123"/>
    </row>
    <row r="279" spans="1:5" ht="15">
      <c r="A279" s="28" t="s">
        <v>456</v>
      </c>
      <c r="B279" s="222">
        <f>SUPPLEMENTARY!F$32</f>
        <v>0</v>
      </c>
      <c r="C279" s="123"/>
      <c r="D279" s="123"/>
      <c r="E279" s="123"/>
    </row>
    <row r="280" spans="1:5" ht="15">
      <c r="A280" s="28" t="s">
        <v>457</v>
      </c>
      <c r="B280" s="222">
        <f>SUPPLEMENTARY!G$32</f>
        <v>29</v>
      </c>
      <c r="C280" s="123"/>
      <c r="D280" s="123"/>
      <c r="E280" s="123"/>
    </row>
    <row r="281" spans="1:5" ht="15">
      <c r="A281" s="28" t="s">
        <v>458</v>
      </c>
      <c r="B281" s="222">
        <f>SUPPLEMENTARY!H$32</f>
        <v>2819</v>
      </c>
      <c r="C281" s="123"/>
      <c r="D281" s="123"/>
      <c r="E281" s="123"/>
    </row>
    <row r="282" spans="1:5" ht="15">
      <c r="A282" s="52" t="s">
        <v>459</v>
      </c>
      <c r="B282" s="222">
        <f>SUPPLEMENTARY!J32</f>
        <v>142</v>
      </c>
      <c r="C282" s="123"/>
      <c r="D282" s="123"/>
      <c r="E282" s="123"/>
    </row>
    <row r="283" spans="1:5" ht="15.75">
      <c r="A283" s="46" t="s">
        <v>463</v>
      </c>
      <c r="B283" s="222"/>
      <c r="C283" s="123"/>
      <c r="D283" s="123"/>
      <c r="E283" s="123"/>
    </row>
    <row r="284" spans="1:5" ht="15">
      <c r="A284" s="28" t="s">
        <v>454</v>
      </c>
      <c r="B284" s="222">
        <f>SUPPLEMENTARY!C$33</f>
        <v>805</v>
      </c>
      <c r="C284" s="123"/>
      <c r="D284" s="123"/>
      <c r="E284" s="123"/>
    </row>
    <row r="285" spans="1:5" ht="15">
      <c r="A285" s="28" t="s">
        <v>482</v>
      </c>
      <c r="B285" s="222">
        <f>SUPPLEMENTARY!D$33</f>
        <v>0</v>
      </c>
      <c r="C285" s="123"/>
      <c r="D285" s="123"/>
      <c r="E285" s="123"/>
    </row>
    <row r="286" spans="1:5" ht="15">
      <c r="A286" s="28" t="s">
        <v>455</v>
      </c>
      <c r="B286" s="222">
        <f>SUPPLEMENTARY!E$33</f>
        <v>0</v>
      </c>
      <c r="C286" s="123"/>
      <c r="D286" s="123"/>
      <c r="E286" s="123"/>
    </row>
    <row r="287" spans="1:5" ht="15">
      <c r="A287" s="28" t="s">
        <v>456</v>
      </c>
      <c r="B287" s="222">
        <f>SUPPLEMENTARY!F$33</f>
        <v>0</v>
      </c>
      <c r="C287" s="123"/>
      <c r="D287" s="123"/>
      <c r="E287" s="123"/>
    </row>
    <row r="288" spans="1:5" ht="15">
      <c r="A288" s="28" t="s">
        <v>457</v>
      </c>
      <c r="B288" s="222">
        <f>SUPPLEMENTARY!G$33</f>
        <v>151</v>
      </c>
      <c r="C288" s="123"/>
      <c r="D288" s="123"/>
      <c r="E288" s="123"/>
    </row>
    <row r="289" spans="1:5" ht="15">
      <c r="A289" s="28" t="s">
        <v>458</v>
      </c>
      <c r="B289" s="222">
        <f>SUPPLEMENTARY!H$33</f>
        <v>956</v>
      </c>
      <c r="C289" s="123"/>
      <c r="D289" s="123"/>
      <c r="E289" s="123"/>
    </row>
    <row r="290" spans="1:5" ht="15">
      <c r="A290" s="52" t="s">
        <v>459</v>
      </c>
      <c r="B290" s="222">
        <f>SUPPLEMENTARY!J33</f>
        <v>0</v>
      </c>
      <c r="C290" s="123"/>
      <c r="D290" s="123"/>
      <c r="E290" s="123"/>
    </row>
    <row r="291" spans="1:5" ht="15.75">
      <c r="A291" s="46" t="s">
        <v>464</v>
      </c>
      <c r="B291" s="222"/>
      <c r="C291" s="123"/>
      <c r="D291" s="123"/>
      <c r="E291" s="123"/>
    </row>
    <row r="292" spans="1:5" ht="15">
      <c r="A292" s="28" t="s">
        <v>454</v>
      </c>
      <c r="B292" s="222">
        <f>SUPPLEMENTARY!C$35</f>
        <v>456474</v>
      </c>
      <c r="C292" s="123"/>
      <c r="D292" s="123"/>
      <c r="E292" s="123"/>
    </row>
    <row r="293" spans="1:5" ht="15">
      <c r="A293" s="28" t="s">
        <v>482</v>
      </c>
      <c r="B293" s="222">
        <f>SUPPLEMENTARY!D$35</f>
        <v>0</v>
      </c>
      <c r="C293" s="123"/>
      <c r="D293" s="123"/>
      <c r="E293" s="123"/>
    </row>
    <row r="294" spans="1:5" ht="15">
      <c r="A294" s="28" t="s">
        <v>455</v>
      </c>
      <c r="B294" s="222">
        <f>SUPPLEMENTARY!E35</f>
        <v>0</v>
      </c>
      <c r="C294" s="123"/>
      <c r="D294" s="123"/>
      <c r="E294" s="123"/>
    </row>
    <row r="295" spans="1:5" ht="15">
      <c r="A295" s="28" t="s">
        <v>456</v>
      </c>
      <c r="B295" s="222">
        <f>SUPPLEMENTARY!F35</f>
        <v>0</v>
      </c>
      <c r="C295" s="123"/>
      <c r="D295" s="123"/>
      <c r="E295" s="123"/>
    </row>
    <row r="296" spans="1:5" ht="15">
      <c r="A296" s="28" t="s">
        <v>457</v>
      </c>
      <c r="B296" s="222">
        <f>SUPPLEMENTARY!G35</f>
        <v>72083</v>
      </c>
      <c r="C296" s="123"/>
      <c r="D296" s="123"/>
      <c r="E296" s="123"/>
    </row>
    <row r="297" spans="1:5" ht="15">
      <c r="A297" s="28" t="s">
        <v>458</v>
      </c>
      <c r="B297" s="222">
        <f>SUPPLEMENTARY!H35</f>
        <v>528557</v>
      </c>
      <c r="C297" s="123"/>
      <c r="D297" s="123"/>
      <c r="E297" s="123"/>
    </row>
    <row r="298" spans="1:5" ht="15">
      <c r="A298" s="52" t="s">
        <v>459</v>
      </c>
      <c r="B298" s="343">
        <f>SUPPLEMENTARY!J35</f>
        <v>66025</v>
      </c>
      <c r="C298" s="123"/>
      <c r="D298" s="123"/>
      <c r="E298" s="123"/>
    </row>
    <row r="299" spans="1:5" ht="15.75">
      <c r="A299" s="46" t="s">
        <v>145</v>
      </c>
      <c r="B299" s="222"/>
      <c r="C299" s="123"/>
      <c r="D299" s="123"/>
      <c r="E299" s="123"/>
    </row>
    <row r="300" spans="1:5" ht="15">
      <c r="A300" s="28" t="s">
        <v>454</v>
      </c>
      <c r="B300" s="222">
        <f>SUPPLEMENTARY!D$36</f>
        <v>0</v>
      </c>
      <c r="C300" s="123"/>
      <c r="D300" s="123"/>
      <c r="E300" s="123"/>
    </row>
    <row r="301" spans="1:5" ht="15">
      <c r="A301" s="28" t="s">
        <v>482</v>
      </c>
      <c r="B301" s="222">
        <f>SUPPLEMENTARY!D$36</f>
        <v>0</v>
      </c>
      <c r="C301" s="123"/>
      <c r="D301" s="123"/>
      <c r="E301" s="123"/>
    </row>
    <row r="302" spans="1:5" ht="15">
      <c r="A302" s="28" t="s">
        <v>455</v>
      </c>
      <c r="B302" s="222">
        <f>SUPPLEMENTARY!E$36</f>
        <v>0</v>
      </c>
      <c r="C302" s="123"/>
      <c r="D302" s="123"/>
      <c r="E302" s="123"/>
    </row>
    <row r="303" spans="1:5" ht="15">
      <c r="A303" s="28" t="s">
        <v>456</v>
      </c>
      <c r="B303" s="222">
        <f>SUPPLEMENTARY!F$36</f>
        <v>0</v>
      </c>
      <c r="C303" s="123"/>
      <c r="D303" s="123"/>
      <c r="E303" s="123"/>
    </row>
    <row r="304" spans="1:5" ht="15">
      <c r="A304" s="28" t="s">
        <v>457</v>
      </c>
      <c r="B304" s="222">
        <f>SUPPLEMENTARY!G$36</f>
        <v>0</v>
      </c>
      <c r="C304" s="123"/>
      <c r="D304" s="123"/>
      <c r="E304" s="123"/>
    </row>
    <row r="305" spans="1:5" ht="15">
      <c r="A305" s="28" t="s">
        <v>458</v>
      </c>
      <c r="B305" s="222">
        <f>SUPPLEMENTARY!H$36</f>
        <v>0</v>
      </c>
      <c r="C305" s="123"/>
      <c r="D305" s="123"/>
      <c r="E305" s="123"/>
    </row>
    <row r="306" spans="1:5" ht="15">
      <c r="A306" s="52" t="s">
        <v>459</v>
      </c>
      <c r="B306" s="343">
        <f>SUPPLEMENTARY!I$36</f>
        <v>0</v>
      </c>
      <c r="C306" s="123"/>
      <c r="D306" s="123"/>
      <c r="E306" s="123"/>
    </row>
    <row r="307" spans="1:5" ht="15.75">
      <c r="A307" s="46" t="s">
        <v>113</v>
      </c>
      <c r="B307" s="222"/>
      <c r="C307" s="123"/>
      <c r="D307" s="123"/>
      <c r="E307" s="123"/>
    </row>
    <row r="308" spans="1:5" ht="15.75">
      <c r="A308" s="27" t="s">
        <v>462</v>
      </c>
      <c r="B308" s="222"/>
      <c r="C308" s="123"/>
      <c r="D308" s="123"/>
      <c r="E308" s="123"/>
    </row>
    <row r="309" spans="1:5" ht="15">
      <c r="A309" s="28" t="s">
        <v>454</v>
      </c>
      <c r="B309" s="222">
        <f>SUPPLEMENTARY!C39</f>
        <v>0</v>
      </c>
      <c r="C309" s="123"/>
      <c r="D309" s="123"/>
      <c r="E309" s="123"/>
    </row>
    <row r="310" spans="1:5" ht="15">
      <c r="A310" s="28" t="s">
        <v>482</v>
      </c>
      <c r="B310" s="222">
        <f>SUPPLEMENTARY!D$39</f>
        <v>0</v>
      </c>
      <c r="C310" s="123"/>
      <c r="D310" s="123"/>
      <c r="E310" s="123"/>
    </row>
    <row r="311" spans="1:5" ht="15">
      <c r="A311" s="28" t="s">
        <v>455</v>
      </c>
      <c r="B311" s="222">
        <f>SUPPLEMENTARY!E$39</f>
        <v>0</v>
      </c>
      <c r="C311" s="123"/>
      <c r="D311" s="123"/>
      <c r="E311" s="123"/>
    </row>
    <row r="312" spans="1:5" ht="15">
      <c r="A312" s="28" t="s">
        <v>456</v>
      </c>
      <c r="B312" s="222">
        <f>SUPPLEMENTARY!F$39</f>
        <v>0</v>
      </c>
      <c r="C312" s="123"/>
      <c r="D312" s="123"/>
      <c r="E312" s="123"/>
    </row>
    <row r="313" spans="1:5" ht="15">
      <c r="A313" s="28" t="s">
        <v>457</v>
      </c>
      <c r="B313" s="222">
        <f>SUPPLEMENTARY!G$39</f>
        <v>0</v>
      </c>
      <c r="C313" s="123"/>
      <c r="D313" s="123"/>
      <c r="E313" s="123"/>
    </row>
    <row r="314" spans="1:5" ht="15">
      <c r="A314" s="28" t="s">
        <v>458</v>
      </c>
      <c r="B314" s="222">
        <f>SUPPLEMENTARY!H$39</f>
        <v>0</v>
      </c>
      <c r="C314" s="123"/>
      <c r="D314" s="123"/>
      <c r="E314" s="123"/>
    </row>
    <row r="315" spans="1:5" ht="15">
      <c r="A315" s="52" t="s">
        <v>459</v>
      </c>
      <c r="B315" s="343">
        <f>SUPPLEMENTARY!I$39</f>
        <v>0</v>
      </c>
      <c r="C315" s="123"/>
      <c r="D315" s="123"/>
      <c r="E315" s="123"/>
    </row>
    <row r="316" spans="1:5" ht="15.75">
      <c r="A316" s="27" t="s">
        <v>463</v>
      </c>
      <c r="B316" s="222"/>
      <c r="C316" s="123"/>
      <c r="D316" s="123"/>
      <c r="E316" s="123"/>
    </row>
    <row r="317" spans="1:5" ht="15">
      <c r="A317" s="28" t="s">
        <v>454</v>
      </c>
      <c r="B317" s="222">
        <f>SUPPLEMENTARY!C40</f>
        <v>0</v>
      </c>
      <c r="C317" s="123"/>
      <c r="D317" s="123"/>
      <c r="E317" s="123"/>
    </row>
    <row r="318" spans="1:5" ht="15">
      <c r="A318" s="28" t="s">
        <v>482</v>
      </c>
      <c r="B318" s="222">
        <f>SUPPLEMENTARY!D$40</f>
        <v>0</v>
      </c>
      <c r="C318" s="123"/>
      <c r="D318" s="123"/>
      <c r="E318" s="123"/>
    </row>
    <row r="319" spans="1:5" ht="15">
      <c r="A319" s="28" t="s">
        <v>455</v>
      </c>
      <c r="B319" s="222">
        <f>SUPPLEMENTARY!E$40</f>
        <v>0</v>
      </c>
      <c r="C319" s="123"/>
      <c r="D319" s="123"/>
      <c r="E319" s="123"/>
    </row>
    <row r="320" spans="1:5" ht="15">
      <c r="A320" s="28" t="s">
        <v>456</v>
      </c>
      <c r="B320" s="222">
        <f>SUPPLEMENTARY!F$40</f>
        <v>0</v>
      </c>
      <c r="C320" s="123"/>
      <c r="D320" s="123"/>
      <c r="E320" s="123"/>
    </row>
    <row r="321" spans="1:5" ht="15">
      <c r="A321" s="28" t="s">
        <v>457</v>
      </c>
      <c r="B321" s="222">
        <f>SUPPLEMENTARY!G$40</f>
        <v>0</v>
      </c>
      <c r="C321" s="123"/>
      <c r="D321" s="123"/>
      <c r="E321" s="123"/>
    </row>
    <row r="322" spans="1:5" ht="15">
      <c r="A322" s="28" t="s">
        <v>458</v>
      </c>
      <c r="B322" s="222">
        <f>SUPPLEMENTARY!H$40</f>
        <v>0</v>
      </c>
      <c r="C322" s="123"/>
      <c r="D322" s="123"/>
      <c r="E322" s="123"/>
    </row>
    <row r="323" spans="1:5" ht="15">
      <c r="A323" s="52" t="s">
        <v>459</v>
      </c>
      <c r="B323" s="343">
        <v>0</v>
      </c>
      <c r="C323" s="123"/>
      <c r="D323" s="123"/>
      <c r="E323" s="123"/>
    </row>
    <row r="324" spans="1:5" ht="15.75">
      <c r="A324" s="27" t="s">
        <v>465</v>
      </c>
      <c r="B324" s="222"/>
      <c r="C324" s="123"/>
      <c r="D324" s="123"/>
      <c r="E324" s="123"/>
    </row>
    <row r="325" spans="1:5" ht="15">
      <c r="A325" s="28" t="s">
        <v>454</v>
      </c>
      <c r="B325" s="222">
        <f>SUPPLEMENTARY!C41</f>
        <v>0</v>
      </c>
      <c r="C325" s="123"/>
      <c r="D325" s="123"/>
      <c r="E325" s="123"/>
    </row>
    <row r="326" spans="1:5" ht="15">
      <c r="A326" s="28" t="s">
        <v>482</v>
      </c>
      <c r="B326" s="222">
        <f>SUPPLEMENTARY!D$41</f>
        <v>0</v>
      </c>
      <c r="C326" s="123"/>
      <c r="D326" s="123"/>
      <c r="E326" s="123"/>
    </row>
    <row r="327" spans="1:5" ht="15">
      <c r="A327" s="28" t="s">
        <v>455</v>
      </c>
      <c r="B327" s="222">
        <f>SUPPLEMENTARY!E$41</f>
        <v>0</v>
      </c>
      <c r="C327" s="123"/>
      <c r="D327" s="123"/>
      <c r="E327" s="123"/>
    </row>
    <row r="328" spans="1:5" ht="15">
      <c r="A328" s="28" t="s">
        <v>456</v>
      </c>
      <c r="B328" s="222">
        <f>SUPPLEMENTARY!F$41</f>
        <v>0</v>
      </c>
      <c r="C328" s="123"/>
      <c r="D328" s="123"/>
      <c r="E328" s="123"/>
    </row>
    <row r="329" spans="1:5" ht="15">
      <c r="A329" s="28" t="s">
        <v>457</v>
      </c>
      <c r="B329" s="222">
        <f>SUPPLEMENTARY!G$41</f>
        <v>0</v>
      </c>
      <c r="C329" s="123"/>
      <c r="D329" s="123"/>
      <c r="E329" s="123"/>
    </row>
    <row r="330" spans="1:5" ht="15">
      <c r="A330" s="28" t="s">
        <v>458</v>
      </c>
      <c r="B330" s="222">
        <f>SUPPLEMENTARY!H$41</f>
        <v>0</v>
      </c>
      <c r="C330" s="123"/>
      <c r="D330" s="123"/>
      <c r="E330" s="123"/>
    </row>
    <row r="331" spans="1:5" ht="15">
      <c r="A331" s="52" t="s">
        <v>459</v>
      </c>
      <c r="B331" s="343">
        <f>SUPPLEMENTARY!I$41</f>
        <v>0</v>
      </c>
      <c r="C331" s="123"/>
      <c r="D331" s="123"/>
      <c r="E331" s="123"/>
    </row>
    <row r="332" spans="1:5" ht="15.75">
      <c r="A332" s="27" t="s">
        <v>466</v>
      </c>
      <c r="B332" s="222"/>
      <c r="C332" s="123"/>
      <c r="D332" s="123"/>
      <c r="E332" s="123"/>
    </row>
    <row r="333" spans="1:5" ht="15">
      <c r="A333" s="28" t="s">
        <v>454</v>
      </c>
      <c r="B333" s="222">
        <f>SUPPLEMENTARY!C42</f>
        <v>0</v>
      </c>
      <c r="C333" s="123"/>
      <c r="D333" s="123"/>
      <c r="E333" s="123"/>
    </row>
    <row r="334" spans="1:5" ht="15">
      <c r="A334" s="28" t="s">
        <v>482</v>
      </c>
      <c r="B334" s="222">
        <f>SUPPLEMENTARY!D$42</f>
        <v>0</v>
      </c>
      <c r="C334" s="123"/>
      <c r="D334" s="123"/>
      <c r="E334" s="123"/>
    </row>
    <row r="335" spans="1:5" ht="15">
      <c r="A335" s="28" t="s">
        <v>455</v>
      </c>
      <c r="B335" s="222">
        <f>SUPPLEMENTARY!E$42</f>
        <v>0</v>
      </c>
      <c r="C335" s="123"/>
      <c r="D335" s="123"/>
      <c r="E335" s="123"/>
    </row>
    <row r="336" spans="1:5" ht="15">
      <c r="A336" s="28" t="s">
        <v>456</v>
      </c>
      <c r="B336" s="222">
        <f>SUPPLEMENTARY!F$42</f>
        <v>0</v>
      </c>
      <c r="C336" s="123"/>
      <c r="D336" s="123"/>
      <c r="E336" s="123"/>
    </row>
    <row r="337" spans="1:5" ht="15">
      <c r="A337" s="28" t="s">
        <v>457</v>
      </c>
      <c r="B337" s="222">
        <f>SUPPLEMENTARY!G$42</f>
        <v>0</v>
      </c>
      <c r="C337" s="123"/>
      <c r="D337" s="123"/>
      <c r="E337" s="123"/>
    </row>
    <row r="338" spans="1:5" ht="15">
      <c r="A338" s="28" t="s">
        <v>458</v>
      </c>
      <c r="B338" s="222">
        <f>SUPPLEMENTARY!H$42</f>
        <v>0</v>
      </c>
      <c r="C338" s="123"/>
      <c r="D338" s="123"/>
      <c r="E338" s="123"/>
    </row>
    <row r="339" spans="1:5" ht="15">
      <c r="A339" s="52" t="s">
        <v>459</v>
      </c>
      <c r="B339" s="343">
        <f>SUPPLEMENTARY!I$42</f>
        <v>0</v>
      </c>
      <c r="C339" s="123"/>
      <c r="D339" s="123"/>
      <c r="E339" s="123"/>
    </row>
    <row r="340" spans="1:5" ht="15.75">
      <c r="A340" s="27" t="s">
        <v>464</v>
      </c>
      <c r="B340" s="222"/>
      <c r="C340" s="123"/>
      <c r="D340" s="123"/>
      <c r="E340" s="123"/>
    </row>
    <row r="341" spans="1:5" ht="15">
      <c r="A341" s="28" t="s">
        <v>454</v>
      </c>
      <c r="B341" s="222">
        <f>SUPPLEMENTARY!C44</f>
        <v>344872</v>
      </c>
      <c r="C341" s="123"/>
      <c r="D341" s="123"/>
      <c r="E341" s="123"/>
    </row>
    <row r="342" spans="1:5" ht="15">
      <c r="A342" s="28" t="s">
        <v>482</v>
      </c>
      <c r="B342" s="222">
        <f>SUPPLEMENTARY!D$44</f>
        <v>432854</v>
      </c>
      <c r="C342" s="123"/>
      <c r="D342" s="123"/>
      <c r="E342" s="123"/>
    </row>
    <row r="343" spans="1:5" ht="15">
      <c r="A343" s="28" t="s">
        <v>455</v>
      </c>
      <c r="B343" s="222">
        <f>SUPPLEMENTARY!E$44</f>
        <v>0</v>
      </c>
      <c r="C343" s="123"/>
      <c r="D343" s="123"/>
      <c r="E343" s="123"/>
    </row>
    <row r="344" spans="1:5" ht="15">
      <c r="A344" s="28" t="s">
        <v>456</v>
      </c>
      <c r="B344" s="222">
        <f>SUPPLEMENTARY!F$44</f>
        <v>0</v>
      </c>
      <c r="C344" s="123"/>
      <c r="D344" s="123"/>
      <c r="E344" s="123"/>
    </row>
    <row r="345" spans="1:5" ht="15">
      <c r="A345" s="28" t="s">
        <v>457</v>
      </c>
      <c r="B345" s="222">
        <f>SUPPLEMENTARY!G$44</f>
        <v>0</v>
      </c>
      <c r="C345" s="123"/>
      <c r="D345" s="123"/>
      <c r="E345" s="123"/>
    </row>
    <row r="346" spans="1:5" ht="15">
      <c r="A346" s="28" t="s">
        <v>458</v>
      </c>
      <c r="B346" s="222">
        <f>SUPPLEMENTARY!H$44</f>
        <v>777726</v>
      </c>
      <c r="C346" s="123"/>
      <c r="D346" s="123"/>
      <c r="E346" s="123"/>
    </row>
    <row r="347" spans="1:5" ht="15">
      <c r="A347" s="52" t="s">
        <v>459</v>
      </c>
      <c r="B347" s="343">
        <f>SUPPLEMENTARY!J46</f>
        <v>0</v>
      </c>
      <c r="C347" s="123"/>
      <c r="D347" s="123"/>
      <c r="E347" s="123"/>
    </row>
    <row r="348" spans="1:5" ht="15.75">
      <c r="A348" s="69" t="s">
        <v>467</v>
      </c>
      <c r="B348" s="222"/>
      <c r="C348" s="123"/>
      <c r="D348" s="123"/>
      <c r="E348" s="123"/>
    </row>
    <row r="349" spans="1:5" ht="15">
      <c r="A349" s="28" t="s">
        <v>454</v>
      </c>
      <c r="B349" s="222">
        <f>SUPPLEMENTARY!C45</f>
        <v>0</v>
      </c>
      <c r="C349" s="123"/>
      <c r="D349" s="123"/>
      <c r="E349" s="123"/>
    </row>
    <row r="350" spans="1:5" ht="15">
      <c r="A350" s="28" t="s">
        <v>482</v>
      </c>
      <c r="B350" s="222">
        <f>SUPPLEMENTARY!D$45</f>
        <v>0</v>
      </c>
      <c r="C350" s="123"/>
      <c r="D350" s="123"/>
      <c r="E350" s="123"/>
    </row>
    <row r="351" spans="1:5" ht="15">
      <c r="A351" s="28" t="s">
        <v>455</v>
      </c>
      <c r="B351" s="222">
        <f>SUPPLEMENTARY!E$45</f>
        <v>0</v>
      </c>
      <c r="C351" s="123"/>
      <c r="D351" s="123"/>
      <c r="E351" s="123"/>
    </row>
    <row r="352" spans="1:5" ht="15">
      <c r="A352" s="28" t="s">
        <v>456</v>
      </c>
      <c r="B352" s="222">
        <f>SUPPLEMENTARY!F$45</f>
        <v>0</v>
      </c>
      <c r="C352" s="123"/>
      <c r="D352" s="123"/>
      <c r="E352" s="123"/>
    </row>
    <row r="353" spans="1:5" ht="15">
      <c r="A353" s="28" t="s">
        <v>457</v>
      </c>
      <c r="B353" s="222">
        <f>SUPPLEMENTARY!G$45</f>
        <v>0</v>
      </c>
      <c r="C353" s="123"/>
      <c r="D353" s="123"/>
      <c r="E353" s="123"/>
    </row>
    <row r="354" spans="1:5" ht="15">
      <c r="A354" s="28" t="s">
        <v>458</v>
      </c>
      <c r="B354" s="222">
        <f>SUPPLEMENTARY!H$45</f>
        <v>0</v>
      </c>
      <c r="C354" s="123"/>
      <c r="D354" s="123"/>
      <c r="E354" s="123"/>
    </row>
    <row r="355" spans="1:5" ht="15">
      <c r="A355" s="52" t="s">
        <v>459</v>
      </c>
      <c r="B355" s="343">
        <f>SUPPLEMENTARY!I$45</f>
        <v>0</v>
      </c>
      <c r="C355" s="123"/>
      <c r="D355" s="123"/>
      <c r="E355" s="123"/>
    </row>
    <row r="356" spans="1:5" ht="15.75">
      <c r="A356" s="44" t="s">
        <v>483</v>
      </c>
      <c r="B356" s="343"/>
      <c r="C356" s="123"/>
      <c r="D356" s="123"/>
      <c r="E356" s="123"/>
    </row>
    <row r="357" spans="1:5" ht="15.75">
      <c r="A357" s="46" t="s">
        <v>549</v>
      </c>
      <c r="B357" s="222"/>
      <c r="C357" s="123"/>
      <c r="D357" s="123"/>
      <c r="E357" s="123"/>
    </row>
    <row r="358" spans="1:5" ht="15.75">
      <c r="A358" s="46" t="s">
        <v>468</v>
      </c>
      <c r="B358" s="222"/>
      <c r="C358" s="123"/>
      <c r="D358" s="123"/>
      <c r="E358" s="123"/>
    </row>
    <row r="359" spans="1:5" ht="15">
      <c r="A359" s="28" t="s">
        <v>469</v>
      </c>
      <c r="B359" s="222">
        <v>646</v>
      </c>
      <c r="C359" s="123"/>
      <c r="D359" s="123"/>
      <c r="E359" s="123"/>
    </row>
    <row r="360" spans="1:5" ht="15">
      <c r="A360" s="28" t="s">
        <v>470</v>
      </c>
      <c r="B360" s="222">
        <v>388</v>
      </c>
      <c r="C360" s="123"/>
      <c r="D360" s="123"/>
      <c r="E360" s="123"/>
    </row>
    <row r="361" spans="1:5" ht="15">
      <c r="A361" s="52" t="s">
        <v>471</v>
      </c>
      <c r="B361" s="343">
        <v>293</v>
      </c>
      <c r="C361" s="123"/>
      <c r="D361" s="123"/>
      <c r="E361" s="123"/>
    </row>
    <row r="362" spans="1:5" ht="15.75">
      <c r="A362" s="27" t="s">
        <v>472</v>
      </c>
      <c r="B362" s="222"/>
      <c r="C362" s="123"/>
      <c r="D362" s="123"/>
      <c r="E362" s="123"/>
    </row>
    <row r="363" spans="1:5" ht="15.75">
      <c r="A363" s="70" t="s">
        <v>473</v>
      </c>
      <c r="B363" s="222"/>
      <c r="C363" s="123"/>
      <c r="D363" s="123"/>
      <c r="E363" s="123"/>
    </row>
    <row r="364" spans="1:5" ht="15">
      <c r="A364" s="28" t="s">
        <v>474</v>
      </c>
      <c r="B364" s="222">
        <f>SUPPLEMENTARY!B60</f>
        <v>0</v>
      </c>
      <c r="C364" s="123"/>
      <c r="D364" s="123"/>
      <c r="E364" s="123"/>
    </row>
    <row r="365" spans="1:5" ht="15">
      <c r="A365" s="28" t="s">
        <v>475</v>
      </c>
      <c r="B365" s="222">
        <f>SUPPLEMENTARY!C60</f>
        <v>0</v>
      </c>
      <c r="C365" s="123"/>
      <c r="D365" s="123"/>
      <c r="E365" s="123"/>
    </row>
    <row r="366" spans="1:5" ht="15">
      <c r="A366" s="52" t="s">
        <v>476</v>
      </c>
      <c r="B366" s="343">
        <f>SUPPLEMENTARY!D60</f>
        <v>0</v>
      </c>
      <c r="C366" s="123"/>
      <c r="D366" s="123"/>
      <c r="E366" s="123"/>
    </row>
    <row r="367" spans="1:5" ht="15.75">
      <c r="A367" s="70" t="s">
        <v>477</v>
      </c>
      <c r="B367" s="220"/>
      <c r="C367" s="123"/>
      <c r="D367" s="123"/>
      <c r="E367" s="123"/>
    </row>
    <row r="368" spans="1:5" ht="15">
      <c r="A368" s="28" t="s">
        <v>474</v>
      </c>
      <c r="B368" s="222">
        <f>SUPPLEMENTARY!B61</f>
        <v>0</v>
      </c>
      <c r="C368" s="123"/>
      <c r="D368" s="123"/>
      <c r="E368" s="123"/>
    </row>
    <row r="369" spans="1:5" ht="15">
      <c r="A369" s="28" t="s">
        <v>475</v>
      </c>
      <c r="B369" s="222">
        <f>SUPPLEMENTARY!C61</f>
        <v>0</v>
      </c>
      <c r="C369" s="123"/>
      <c r="D369" s="123"/>
      <c r="E369" s="123"/>
    </row>
    <row r="370" spans="1:5" ht="15">
      <c r="A370" s="52" t="s">
        <v>476</v>
      </c>
      <c r="B370" s="343">
        <f>SUPPLEMENTARY!D61</f>
        <v>0</v>
      </c>
      <c r="C370" s="123"/>
      <c r="D370" s="123"/>
      <c r="E370" s="123"/>
    </row>
    <row r="371" spans="1:5" ht="15.75">
      <c r="A371" s="46" t="s">
        <v>478</v>
      </c>
      <c r="B371" s="220"/>
      <c r="C371" s="123"/>
      <c r="D371" s="123"/>
      <c r="E371" s="123"/>
    </row>
    <row r="372" spans="1:5" ht="15">
      <c r="A372" s="28" t="s">
        <v>474</v>
      </c>
      <c r="B372" s="222">
        <f>SUPPLEMENTARY!B62</f>
        <v>0</v>
      </c>
      <c r="C372" s="123"/>
      <c r="D372" s="123"/>
      <c r="E372" s="123"/>
    </row>
    <row r="373" spans="1:5" ht="15">
      <c r="A373" s="28" t="s">
        <v>475</v>
      </c>
      <c r="B373" s="222">
        <f>SUPPLEMENTARY!C62</f>
        <v>0</v>
      </c>
      <c r="C373" s="123"/>
      <c r="D373" s="123"/>
      <c r="E373" s="123"/>
    </row>
    <row r="374" spans="1:5" ht="15">
      <c r="A374" s="52" t="s">
        <v>476</v>
      </c>
      <c r="B374" s="343">
        <f>SUPPLEMENTARY!D62</f>
        <v>0</v>
      </c>
      <c r="C374" s="123"/>
      <c r="D374" s="123"/>
      <c r="E374" s="123"/>
    </row>
    <row r="375" spans="1:5" ht="15.75">
      <c r="A375" s="46" t="s">
        <v>479</v>
      </c>
      <c r="B375" s="220"/>
      <c r="C375" s="123"/>
      <c r="D375" s="123"/>
      <c r="E375" s="123"/>
    </row>
    <row r="376" spans="1:5" ht="15">
      <c r="A376" s="28" t="s">
        <v>474</v>
      </c>
      <c r="B376" s="222">
        <f>SUPPLEMENTARY!B63</f>
        <v>0</v>
      </c>
      <c r="C376" s="123"/>
      <c r="D376" s="123"/>
      <c r="E376" s="123"/>
    </row>
    <row r="377" spans="1:5" ht="15">
      <c r="A377" s="28" t="s">
        <v>475</v>
      </c>
      <c r="B377" s="222">
        <f>SUPPLEMENTARY!C63</f>
        <v>0</v>
      </c>
      <c r="C377" s="123"/>
      <c r="D377" s="123"/>
      <c r="E377" s="123"/>
    </row>
    <row r="378" spans="1:5" ht="15">
      <c r="A378" s="52" t="s">
        <v>476</v>
      </c>
      <c r="B378" s="343">
        <f>SUPPLEMENTARY!D63</f>
        <v>0</v>
      </c>
      <c r="C378" s="123"/>
      <c r="D378" s="123"/>
      <c r="E378" s="123"/>
    </row>
    <row r="379" spans="1:5" ht="15.75">
      <c r="A379" s="46" t="s">
        <v>480</v>
      </c>
      <c r="B379" s="220"/>
      <c r="C379" s="123"/>
      <c r="D379" s="123"/>
      <c r="E379" s="123"/>
    </row>
    <row r="380" spans="1:5" ht="15">
      <c r="A380" s="28" t="s">
        <v>474</v>
      </c>
      <c r="B380" s="222">
        <f>SUPPLEMENTARY!B64</f>
        <v>0</v>
      </c>
      <c r="C380" s="123"/>
      <c r="D380" s="123"/>
      <c r="E380" s="123"/>
    </row>
    <row r="381" spans="1:5" ht="15">
      <c r="A381" s="28" t="s">
        <v>475</v>
      </c>
      <c r="B381" s="222">
        <f>SUPPLEMENTARY!C64</f>
        <v>0</v>
      </c>
      <c r="C381" s="123"/>
      <c r="D381" s="123"/>
      <c r="E381" s="123"/>
    </row>
    <row r="382" spans="1:5" ht="15">
      <c r="A382" s="52" t="s">
        <v>476</v>
      </c>
      <c r="B382" s="343">
        <f>SUPPLEMENTARY!D64</f>
        <v>0</v>
      </c>
      <c r="C382" s="123"/>
      <c r="D382" s="123"/>
      <c r="E382" s="123"/>
    </row>
    <row r="383" spans="1:5" ht="15.75">
      <c r="A383" s="71" t="s">
        <v>525</v>
      </c>
      <c r="B383" s="220"/>
      <c r="C383" s="123"/>
      <c r="D383" s="123"/>
      <c r="E383" s="123"/>
    </row>
    <row r="384" spans="1:5" ht="15">
      <c r="A384" s="28" t="s">
        <v>474</v>
      </c>
      <c r="B384" s="222">
        <f>SUPPLEMENTARY!B65</f>
        <v>0</v>
      </c>
      <c r="C384" s="123"/>
      <c r="D384" s="123"/>
      <c r="E384" s="123"/>
    </row>
    <row r="385" spans="1:5" ht="15">
      <c r="A385" s="28" t="s">
        <v>475</v>
      </c>
      <c r="B385" s="222">
        <f>SUPPLEMENTARY!C65</f>
        <v>0</v>
      </c>
      <c r="C385" s="123"/>
      <c r="D385" s="123"/>
      <c r="E385" s="123"/>
    </row>
    <row r="386" spans="1:5" ht="15">
      <c r="A386" s="52" t="s">
        <v>476</v>
      </c>
      <c r="B386" s="343">
        <f>SUPPLEMENTARY!D65</f>
        <v>0</v>
      </c>
      <c r="C386" s="123"/>
      <c r="D386" s="123"/>
      <c r="E386" s="123"/>
    </row>
  </sheetData>
  <sheetProtection/>
  <mergeCells count="1">
    <mergeCell ref="A3:E3"/>
  </mergeCells>
  <printOptions/>
  <pageMargins left="0.2362204724409449" right="0.2755905511811024" top="0.2755905511811024" bottom="0.1968503937007874" header="0" footer="0"/>
  <pageSetup fitToHeight="0" fitToWidth="1" horizontalDpi="600" verticalDpi="600" orientation="portrait" paperSize="9" scale="67" r:id="rId1"/>
  <rowBreaks count="5" manualBreakCount="5">
    <brk id="70" max="4" man="1"/>
    <brk id="142" max="4" man="1"/>
    <brk id="203" max="4" man="1"/>
    <brk id="280" max="4" man="1"/>
    <brk id="3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1"/>
  <sheetViews>
    <sheetView tabSelected="1" view="pageBreakPreview" zoomScale="115" zoomScaleSheetLayoutView="115" zoomScalePageLayoutView="0" workbookViewId="0" topLeftCell="A1">
      <pane xSplit="1" ySplit="3" topLeftCell="B1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F23" sqref="F23"/>
    </sheetView>
  </sheetViews>
  <sheetFormatPr defaultColWidth="8.7109375" defaultRowHeight="12.75"/>
  <cols>
    <col min="1" max="1" width="60.7109375" style="166" customWidth="1"/>
    <col min="2" max="2" width="14.140625" style="166" customWidth="1"/>
    <col min="3" max="3" width="10.7109375" style="166" customWidth="1"/>
    <col min="4" max="4" width="8.7109375" style="166" customWidth="1"/>
    <col min="5" max="5" width="10.00390625" style="166" bestFit="1" customWidth="1"/>
    <col min="6" max="16384" width="8.7109375" style="166" customWidth="1"/>
  </cols>
  <sheetData>
    <row r="1" spans="1:3" ht="12.75">
      <c r="A1" s="240" t="s">
        <v>232</v>
      </c>
      <c r="B1" s="241"/>
      <c r="C1" s="125"/>
    </row>
    <row r="2" spans="1:3" ht="12.75">
      <c r="A2" s="240" t="s">
        <v>25</v>
      </c>
      <c r="B2" s="242"/>
      <c r="C2" s="125"/>
    </row>
    <row r="3" spans="1:3" ht="12.75">
      <c r="A3" s="243" t="str">
        <f>Name1</f>
        <v>VAAL UNIVERSITY OF TECHNOLOGY……..  HEMIS INSTIT. CODE 110</v>
      </c>
      <c r="B3" s="244" t="str">
        <f>Name2</f>
        <v>R'000</v>
      </c>
      <c r="C3" s="125"/>
    </row>
    <row r="4" spans="1:3" ht="12.75">
      <c r="A4" s="240"/>
      <c r="B4" s="245" t="s">
        <v>275</v>
      </c>
      <c r="C4" s="125"/>
    </row>
    <row r="5" spans="1:3" ht="15.75">
      <c r="A5" s="246">
        <v>2021</v>
      </c>
      <c r="B5" s="247" t="s">
        <v>137</v>
      </c>
      <c r="C5" s="125"/>
    </row>
    <row r="6" spans="1:3" ht="12.75">
      <c r="A6" s="248" t="s">
        <v>263</v>
      </c>
      <c r="B6" s="182">
        <f>SUM(B7:B13)</f>
        <v>1</v>
      </c>
      <c r="C6" s="125"/>
    </row>
    <row r="7" spans="1:3" ht="12.75">
      <c r="A7" s="249" t="s">
        <v>501</v>
      </c>
      <c r="B7" s="191">
        <f>'FIN-DATA'!B180/'FIN-DATA'!B$179</f>
        <v>0.8204961174035559</v>
      </c>
      <c r="C7" s="125"/>
    </row>
    <row r="8" spans="1:3" ht="12.75">
      <c r="A8" s="250" t="s">
        <v>337</v>
      </c>
      <c r="B8" s="182">
        <f>'FIN-DATA'!B181/'FIN-DATA'!B$179</f>
        <v>-0.00351956071104713</v>
      </c>
      <c r="C8" s="125"/>
    </row>
    <row r="9" spans="1:3" ht="12.75">
      <c r="A9" s="250" t="s">
        <v>338</v>
      </c>
      <c r="B9" s="182">
        <f>'FIN-DATA'!B182/'FIN-DATA'!B$179</f>
        <v>0</v>
      </c>
      <c r="C9" s="125"/>
    </row>
    <row r="10" spans="1:3" ht="12.75">
      <c r="A10" s="250" t="s">
        <v>339</v>
      </c>
      <c r="B10" s="182">
        <f>'FIN-DATA'!B183/'FIN-DATA'!B$179</f>
        <v>0.024806655969423275</v>
      </c>
      <c r="C10" s="125"/>
    </row>
    <row r="11" spans="1:3" ht="12.75">
      <c r="A11" s="250" t="s">
        <v>340</v>
      </c>
      <c r="B11" s="182">
        <f>'FIN-DATA'!B184/'FIN-DATA'!B$179</f>
        <v>0</v>
      </c>
      <c r="C11" s="125"/>
    </row>
    <row r="12" spans="1:3" ht="12.75">
      <c r="A12" s="250" t="s">
        <v>294</v>
      </c>
      <c r="B12" s="182">
        <f>'FIN-DATA'!B185/'FIN-DATA'!B$179</f>
        <v>0.15903636800822252</v>
      </c>
      <c r="C12" s="125"/>
    </row>
    <row r="13" spans="1:3" ht="12.75">
      <c r="A13" s="250" t="s">
        <v>184</v>
      </c>
      <c r="B13" s="182">
        <f>'FIN-DATA'!B186/'FIN-DATA'!B$179</f>
        <v>-0.0008195806701545337</v>
      </c>
      <c r="C13" s="125"/>
    </row>
    <row r="14" spans="1:4" ht="12.75">
      <c r="A14" s="251" t="s">
        <v>243</v>
      </c>
      <c r="B14" s="252">
        <f>((('FIN-DATA'!B193-'FIN-DATA'!B198-'FIN-DATA'!B195-'FIN-DATA'!B199)*1.67)+('FIN-DATA'!B195+'FIN-DATA'!B198+'FIN-DATA'!B199-'FIN-DATA'!B177)+(('FIN-DATA'!B190+'FIN-DATA'!B191)*0.05)+('FIN-DATA'!B189*0.015)+(('FIN-DATA'!B188+'FIN-DATA'!B192)*0.125)+('FIN-DATA'!B200*0.05)+(('FIN-DATA'!B183*0.75)+(('FIN-DATA'!B181+'FIN-DATA'!B185)*0.5))-('FIN-DATA'!B166*0.015)-(('FIN-DATA'!B201+'FIN-DATA'!B167+'FIN-DATA'!B168)*0.75))*1000</f>
        <v>-803191630.0000001</v>
      </c>
      <c r="C14" s="125"/>
      <c r="D14" s="207"/>
    </row>
    <row r="15" spans="1:3" ht="12.75">
      <c r="A15" s="240" t="s">
        <v>9</v>
      </c>
      <c r="B15" s="182"/>
      <c r="C15" s="125"/>
    </row>
    <row r="16" spans="1:3" ht="12.75">
      <c r="A16" s="253" t="s">
        <v>200</v>
      </c>
      <c r="B16" s="191">
        <f>('FIN-DATA'!B187+'FIN-DATA'!B193)/'FIN-DATA'!B178</f>
        <v>0.5893451928035165</v>
      </c>
      <c r="C16" s="125"/>
    </row>
    <row r="17" spans="1:3" ht="12.75">
      <c r="A17" s="254" t="s">
        <v>36</v>
      </c>
      <c r="B17" s="188">
        <f>'FIN-DATA'!B193/('FIN-DATA'!B187+'FIN-DATA'!B193)</f>
        <v>0.3174895803446864</v>
      </c>
      <c r="C17" s="125"/>
    </row>
    <row r="18" spans="1:3" ht="12.75">
      <c r="A18" s="248" t="s">
        <v>10</v>
      </c>
      <c r="B18" s="182">
        <f>B19+B20+B22+B23</f>
        <v>0.9971058004354367</v>
      </c>
      <c r="C18" s="125"/>
    </row>
    <row r="19" spans="1:3" ht="12.75">
      <c r="A19" s="250" t="s">
        <v>37</v>
      </c>
      <c r="B19" s="191">
        <f>'FIN-DATA'!B163/'FIN-DATA'!B162</f>
        <v>0.3132521683908489</v>
      </c>
      <c r="C19" s="125"/>
    </row>
    <row r="20" spans="1:3" ht="12.75">
      <c r="A20" s="250" t="s">
        <v>201</v>
      </c>
      <c r="B20" s="182">
        <f>('FIN-DATA'!B165+'FIN-DATA'!B166+'FIN-DATA'!B167)/'FIN-DATA'!B162</f>
        <v>0.30694488500485806</v>
      </c>
      <c r="C20" s="125"/>
    </row>
    <row r="21" spans="1:3" ht="12.75">
      <c r="A21" s="251" t="s">
        <v>244</v>
      </c>
      <c r="B21" s="187">
        <f>'FIN-DATA'!B201/('FIN-DATA'!B165+'FIN-DATA'!B166+'FIN-DATA'!B167)</f>
        <v>0.4836676271986493</v>
      </c>
      <c r="C21" s="125"/>
    </row>
    <row r="22" spans="1:3" ht="12.75">
      <c r="A22" s="250" t="s">
        <v>202</v>
      </c>
      <c r="B22" s="182">
        <f>'FIN-DATA'!B168/'FIN-DATA'!B162</f>
        <v>0</v>
      </c>
      <c r="C22" s="125"/>
    </row>
    <row r="23" spans="1:3" ht="12.75">
      <c r="A23" s="250" t="s">
        <v>38</v>
      </c>
      <c r="B23" s="188">
        <f>'FIN-DATA'!B177/'FIN-DATA'!B162</f>
        <v>0.3769087470397298</v>
      </c>
      <c r="C23" s="125"/>
    </row>
    <row r="24" spans="1:3" ht="12.75">
      <c r="A24" s="248" t="s">
        <v>39</v>
      </c>
      <c r="B24" s="255" t="s">
        <v>216</v>
      </c>
      <c r="C24" s="125"/>
    </row>
    <row r="25" spans="1:3" ht="12.75">
      <c r="A25" s="250" t="s">
        <v>276</v>
      </c>
      <c r="B25" s="256">
        <f>'FIN-DATA'!B177/'FIN-DATA'!B193</f>
        <v>2.014358910681919</v>
      </c>
      <c r="C25" s="125"/>
    </row>
    <row r="26" spans="1:3" ht="12.75">
      <c r="A26" s="250" t="s">
        <v>30</v>
      </c>
      <c r="B26" s="189">
        <f>'FIN-DATA'!B160/'FIN-DATA'!B159</f>
        <v>1.1260675805268798</v>
      </c>
      <c r="C26" s="125"/>
    </row>
    <row r="27" spans="1:3" ht="12.75">
      <c r="A27" s="250" t="s">
        <v>12</v>
      </c>
      <c r="B27" s="189">
        <f>('FIN-DATA'!B177-'FIN-DATA'!B170)/'FIN-DATA'!B193</f>
        <v>2.014358910681919</v>
      </c>
      <c r="C27" s="125"/>
    </row>
    <row r="28" spans="1:3" ht="12.75">
      <c r="A28" s="257" t="s">
        <v>238</v>
      </c>
      <c r="B28" s="353">
        <f>('FIN-DATA'!B177-'FIN-DATA'!B170-'FIN-DATA'!B193)/(926265/12)</f>
        <v>7.619957571537303</v>
      </c>
      <c r="C28" s="125" t="s">
        <v>511</v>
      </c>
    </row>
    <row r="29" spans="1:3" ht="12.75">
      <c r="A29" s="249" t="s">
        <v>40</v>
      </c>
      <c r="B29" s="182">
        <f>'FIN-DATA'!B128/'FIN-DATA'!B126</f>
        <v>0.47344959184529345</v>
      </c>
      <c r="C29" s="125"/>
    </row>
    <row r="30" spans="1:3" ht="12.75">
      <c r="A30" s="257" t="s">
        <v>264</v>
      </c>
      <c r="B30" s="354">
        <f>405361/721323</f>
        <v>0.5619687712716772</v>
      </c>
      <c r="C30" s="125"/>
    </row>
    <row r="31" spans="1:3" ht="12.75">
      <c r="A31" s="257" t="s">
        <v>265</v>
      </c>
      <c r="B31" s="354">
        <f>456695/725014</f>
        <v>0.6299119741136033</v>
      </c>
      <c r="C31" s="125"/>
    </row>
    <row r="32" spans="1:3" ht="12.75">
      <c r="A32" s="257" t="s">
        <v>266</v>
      </c>
      <c r="B32" s="354">
        <f>357721/706342</f>
        <v>0.5064416387528987</v>
      </c>
      <c r="C32" s="125"/>
    </row>
    <row r="33" spans="1:3" ht="12.75">
      <c r="A33" s="258" t="s">
        <v>13</v>
      </c>
      <c r="B33" s="183"/>
      <c r="C33" s="125"/>
    </row>
    <row r="34" spans="1:3" ht="12.75">
      <c r="A34" s="259" t="s">
        <v>300</v>
      </c>
      <c r="B34" s="184">
        <f>'FIN-DATA'!B201-'FIN-DATA'!B202</f>
        <v>22888</v>
      </c>
      <c r="C34" s="125"/>
    </row>
    <row r="35" spans="1:3" ht="12.75">
      <c r="A35" s="249" t="s">
        <v>301</v>
      </c>
      <c r="B35" s="182">
        <f>B34/'FIN-DATA'!B202</f>
        <v>0.05235360182624588</v>
      </c>
      <c r="C35" s="125"/>
    </row>
    <row r="36" spans="1:3" ht="12.75">
      <c r="A36" s="257" t="s">
        <v>302</v>
      </c>
      <c r="B36" s="351">
        <f>142/2900</f>
        <v>0.04896551724137931</v>
      </c>
      <c r="C36" s="125"/>
    </row>
    <row r="37" spans="1:3" ht="12.75">
      <c r="A37" s="260" t="s">
        <v>14</v>
      </c>
      <c r="B37" s="183"/>
      <c r="C37" s="125"/>
    </row>
    <row r="38" spans="1:3" ht="12.75">
      <c r="A38" s="257" t="s">
        <v>295</v>
      </c>
      <c r="B38" s="354">
        <f>1521424/1043300</f>
        <v>1.4582804562446086</v>
      </c>
      <c r="C38" s="125" t="s">
        <v>511</v>
      </c>
    </row>
    <row r="39" spans="1:3" ht="12.75">
      <c r="A39" s="257" t="s">
        <v>296</v>
      </c>
      <c r="B39" s="351">
        <f>0/1521424</f>
        <v>0</v>
      </c>
      <c r="C39" s="125" t="s">
        <v>511</v>
      </c>
    </row>
    <row r="40" spans="1:3" ht="12.75">
      <c r="A40" s="261" t="s">
        <v>239</v>
      </c>
      <c r="B40" s="185"/>
      <c r="C40" s="125"/>
    </row>
    <row r="41" spans="1:3" ht="12.75">
      <c r="A41" s="258" t="s">
        <v>174</v>
      </c>
      <c r="B41" s="186"/>
      <c r="C41" s="125"/>
    </row>
    <row r="42" spans="1:3" ht="12.75">
      <c r="A42" s="262" t="s">
        <v>175</v>
      </c>
      <c r="B42" s="187">
        <f>SUM(B43:B51)</f>
        <v>1.0005616819859973</v>
      </c>
      <c r="C42" s="125"/>
    </row>
    <row r="43" spans="1:3" ht="12.75">
      <c r="A43" s="249" t="s">
        <v>362</v>
      </c>
      <c r="B43" s="182">
        <f>'FIN-DATA'!B13/'FIN-DATA'!B12</f>
        <v>0.555438012017927</v>
      </c>
      <c r="C43" s="125"/>
    </row>
    <row r="44" spans="1:3" ht="12.75">
      <c r="A44" s="249" t="s">
        <v>363</v>
      </c>
      <c r="B44" s="182">
        <f>('FIN-DATA'!B14+'FIN-DATA'!B15)/'FIN-DATA'!B12</f>
        <v>0.31910221854046766</v>
      </c>
      <c r="C44" s="125"/>
    </row>
    <row r="45" spans="1:3" ht="12.75">
      <c r="A45" s="249" t="s">
        <v>364</v>
      </c>
      <c r="B45" s="182">
        <f>('FIN-DATA'!B16+'FIN-DATA'!B17)/'FIN-DATA'!B12</f>
        <v>0</v>
      </c>
      <c r="C45" s="125"/>
    </row>
    <row r="46" spans="1:3" ht="12.75">
      <c r="A46" s="249" t="s">
        <v>365</v>
      </c>
      <c r="B46" s="182">
        <f>'FIN-DATA'!B18/'FIN-DATA'!B12</f>
        <v>0.0038676801293453683</v>
      </c>
      <c r="C46" s="125"/>
    </row>
    <row r="47" spans="1:3" ht="12.75">
      <c r="A47" s="249" t="s">
        <v>366</v>
      </c>
      <c r="B47" s="182">
        <f>'FIN-DATA'!B19/'FIN-DATA'!B12</f>
        <v>0.0012357003691939139</v>
      </c>
      <c r="C47" s="125"/>
    </row>
    <row r="48" spans="1:3" ht="12.75">
      <c r="A48" s="249" t="s">
        <v>367</v>
      </c>
      <c r="B48" s="182">
        <f>'FIN-DATA'!B20/'FIN-DATA'!B12</f>
        <v>0.06718474650912923</v>
      </c>
      <c r="C48" s="125"/>
    </row>
    <row r="49" spans="1:3" ht="12.75">
      <c r="A49" s="263" t="s">
        <v>368</v>
      </c>
      <c r="B49" s="188">
        <f>('FIN-DATA'!B21)/'FIN-DATA'!B12</f>
        <v>0.05317164243393689</v>
      </c>
      <c r="C49" s="125"/>
    </row>
    <row r="50" spans="1:3" ht="12.75">
      <c r="A50" s="264" t="s">
        <v>214</v>
      </c>
      <c r="B50" s="189">
        <f>'FIN-DATA'!B23/'FIN-DATA'!B25</f>
        <v>0.0006119921516141637</v>
      </c>
      <c r="C50" s="125"/>
    </row>
    <row r="51" spans="1:3" ht="12.75">
      <c r="A51" s="265" t="s">
        <v>215</v>
      </c>
      <c r="B51" s="190">
        <f>'FIN-DATA'!B24/'FIN-DATA'!B25</f>
        <v>-5.031016561693013E-05</v>
      </c>
      <c r="C51" s="125"/>
    </row>
    <row r="52" spans="1:3" ht="12.75">
      <c r="A52" s="249" t="s">
        <v>497</v>
      </c>
      <c r="B52" s="183">
        <f>'FIN-DATA'!B13/'FIN-DATA'!B6</f>
        <v>53.98124581379772</v>
      </c>
      <c r="C52" s="125"/>
    </row>
    <row r="53" spans="1:3" ht="12.75">
      <c r="A53" s="249" t="s">
        <v>499</v>
      </c>
      <c r="B53" s="183">
        <f>'FIN-DATA'!B14/'FIN-DATA'!B6</f>
        <v>31.012525117213663</v>
      </c>
      <c r="C53" s="125"/>
    </row>
    <row r="54" spans="1:3" ht="12.75">
      <c r="A54" s="249" t="s">
        <v>498</v>
      </c>
      <c r="B54" s="183">
        <f>('FIN-DATA'!B12-'FIN-DATA'!B13-'FIN-DATA'!B14)/'FIN-DATA'!B6</f>
        <v>12.193034159410583</v>
      </c>
      <c r="C54" s="125"/>
    </row>
    <row r="55" spans="1:3" ht="12.75">
      <c r="A55" s="264" t="s">
        <v>500</v>
      </c>
      <c r="B55" s="183">
        <f>'FIN-DATA'!B22/'FIN-DATA'!B6</f>
        <v>0.05458807769591427</v>
      </c>
      <c r="C55" s="125"/>
    </row>
    <row r="56" spans="1:3" ht="12.75">
      <c r="A56" s="263" t="s">
        <v>350</v>
      </c>
      <c r="B56" s="183">
        <f>'FIN-DATA'!B25/'FIN-DATA'!B6</f>
        <v>97.18680509042197</v>
      </c>
      <c r="C56" s="125"/>
    </row>
    <row r="57" spans="1:3" ht="12.75">
      <c r="A57" s="266" t="s">
        <v>428</v>
      </c>
      <c r="B57" s="187">
        <f>SUM(B43:B49)</f>
        <v>1</v>
      </c>
      <c r="C57" s="125"/>
    </row>
    <row r="58" spans="1:3" ht="12.75">
      <c r="A58" s="266" t="s">
        <v>427</v>
      </c>
      <c r="B58" s="187">
        <f>('FIN-DATA'!B13+'FIN-DATA'!B14+'FIN-DATA'!B15)/'FIN-DATA'!B12</f>
        <v>0.8745402305583946</v>
      </c>
      <c r="C58" s="125"/>
    </row>
    <row r="59" spans="1:3" ht="12.75">
      <c r="A59" s="263" t="s">
        <v>135</v>
      </c>
      <c r="B59" s="188">
        <f>('FIN-DATA'!B25-'FIN-DATA'!B70)/'FIN-DATA'!B25</f>
        <v>0.15656592458023746</v>
      </c>
      <c r="C59" s="125"/>
    </row>
    <row r="60" spans="1:3" ht="12.75">
      <c r="A60" s="267" t="s">
        <v>15</v>
      </c>
      <c r="B60" s="187">
        <f>SUM(B61:B67)</f>
        <v>1</v>
      </c>
      <c r="C60" s="125"/>
    </row>
    <row r="61" spans="1:3" ht="12.75">
      <c r="A61" s="249" t="s">
        <v>133</v>
      </c>
      <c r="B61" s="182">
        <f>'FIN-DATA'!B27/'FIN-DATA'!B35</f>
        <v>0.7200800291014915</v>
      </c>
      <c r="C61" s="125"/>
    </row>
    <row r="62" spans="1:3" ht="12.75">
      <c r="A62" s="249" t="s">
        <v>134</v>
      </c>
      <c r="B62" s="182">
        <f>'FIN-DATA'!B31/'FIN-DATA'!B35</f>
        <v>0</v>
      </c>
      <c r="C62" s="125"/>
    </row>
    <row r="63" spans="1:3" ht="12.75">
      <c r="A63" s="249" t="s">
        <v>130</v>
      </c>
      <c r="B63" s="182">
        <f>('FIN-DATA'!B28+'FIN-DATA'!B29)/'FIN-DATA'!B35</f>
        <v>0.27991997089850856</v>
      </c>
      <c r="C63" s="125"/>
    </row>
    <row r="64" spans="1:3" ht="12.75">
      <c r="A64" s="249" t="s">
        <v>213</v>
      </c>
      <c r="B64" s="182">
        <f>'FIN-DATA'!B30/'FIN-DATA'!B35</f>
        <v>0</v>
      </c>
      <c r="C64" s="125"/>
    </row>
    <row r="65" spans="1:3" ht="12.75">
      <c r="A65" s="249" t="s">
        <v>132</v>
      </c>
      <c r="B65" s="182">
        <f>'FIN-DATA'!B32/'FIN-DATA'!B35</f>
        <v>0</v>
      </c>
      <c r="C65" s="125"/>
    </row>
    <row r="66" spans="1:3" ht="12.75">
      <c r="A66" s="265" t="s">
        <v>189</v>
      </c>
      <c r="B66" s="188">
        <f>'FIN-DATA'!B33/'FIN-DATA'!B35</f>
        <v>0</v>
      </c>
      <c r="C66" s="125"/>
    </row>
    <row r="67" spans="1:3" ht="12.75">
      <c r="A67" s="265" t="s">
        <v>341</v>
      </c>
      <c r="B67" s="188">
        <f>'FIN-DATA'!B34/'FIN-DATA'!B35</f>
        <v>0</v>
      </c>
      <c r="C67" s="125"/>
    </row>
    <row r="68" spans="1:3" ht="12.75">
      <c r="A68" s="263" t="s">
        <v>135</v>
      </c>
      <c r="B68" s="188">
        <f>('FIN-DATA'!B35-'FIN-DATA'!B80)/'FIN-DATA'!B35</f>
        <v>-2.2735540196435067E-05</v>
      </c>
      <c r="C68" s="125"/>
    </row>
    <row r="69" spans="1:3" ht="12.75">
      <c r="A69" s="268" t="s">
        <v>186</v>
      </c>
      <c r="B69" s="188">
        <f>'FIN-DATA'!B25/('FIN-DATA'!B25+'FIN-DATA'!B35)</f>
        <v>0.9705789296600698</v>
      </c>
      <c r="C69" s="269"/>
    </row>
    <row r="70" spans="1:3" ht="12.75">
      <c r="A70" s="267" t="s">
        <v>22</v>
      </c>
      <c r="B70" s="187">
        <f>SUM(B71:B76)</f>
        <v>1</v>
      </c>
      <c r="C70" s="125"/>
    </row>
    <row r="71" spans="1:3" ht="12.75">
      <c r="A71" s="249" t="s">
        <v>133</v>
      </c>
      <c r="B71" s="182">
        <f>'FIN-DATA'!B38/'FIN-DATA'!B44</f>
        <v>0</v>
      </c>
      <c r="C71" s="125"/>
    </row>
    <row r="72" spans="1:3" ht="12.75">
      <c r="A72" s="249" t="s">
        <v>131</v>
      </c>
      <c r="B72" s="182">
        <f>'FIN-DATA'!B39/'FIN-DATA'!B44</f>
        <v>0.8490032703906392</v>
      </c>
      <c r="C72" s="125"/>
    </row>
    <row r="73" spans="1:3" ht="12.75">
      <c r="A73" s="249" t="s">
        <v>219</v>
      </c>
      <c r="B73" s="182">
        <f>'FIN-DATA'!B40/'FIN-DATA'!B44</f>
        <v>0</v>
      </c>
      <c r="C73" s="125"/>
    </row>
    <row r="74" spans="1:3" ht="12.75">
      <c r="A74" s="249" t="s">
        <v>134</v>
      </c>
      <c r="B74" s="182">
        <f>'FIN-DATA'!B41/'FIN-DATA'!B44</f>
        <v>0</v>
      </c>
      <c r="C74" s="125"/>
    </row>
    <row r="75" spans="1:3" ht="12.75">
      <c r="A75" s="249" t="s">
        <v>132</v>
      </c>
      <c r="B75" s="182">
        <f>'FIN-DATA'!B42/'FIN-DATA'!B44</f>
        <v>0</v>
      </c>
      <c r="C75" s="125"/>
    </row>
    <row r="76" spans="1:3" ht="12.75">
      <c r="A76" s="265" t="s">
        <v>189</v>
      </c>
      <c r="B76" s="188">
        <f>'FIN-DATA'!B43/'FIN-DATA'!B44</f>
        <v>0.15099672960936086</v>
      </c>
      <c r="C76" s="125"/>
    </row>
    <row r="77" spans="1:3" ht="12.75">
      <c r="A77" s="263" t="s">
        <v>135</v>
      </c>
      <c r="B77" s="188">
        <f>('FIN-DATA'!B44-'FIN-DATA'!B89)/'FIN-DATA'!B44</f>
        <v>0.05175434271721803</v>
      </c>
      <c r="C77" s="125"/>
    </row>
    <row r="78" spans="1:3" ht="12.75">
      <c r="A78" s="258" t="s">
        <v>16</v>
      </c>
      <c r="B78" s="182"/>
      <c r="C78" s="125"/>
    </row>
    <row r="79" spans="1:3" ht="12.75">
      <c r="A79" s="249" t="s">
        <v>355</v>
      </c>
      <c r="B79" s="191">
        <f>SUM(B80:B83)</f>
        <v>0.5985069596877738</v>
      </c>
      <c r="C79" s="125"/>
    </row>
    <row r="80" spans="1:3" ht="12.75">
      <c r="A80" s="270" t="s">
        <v>377</v>
      </c>
      <c r="B80" s="191">
        <f>'FIN-DATA'!B49/'FIN-DATA'!B12</f>
        <v>0.25093332249022915</v>
      </c>
      <c r="C80" s="125"/>
    </row>
    <row r="81" spans="1:3" ht="12.75">
      <c r="A81" s="271" t="s">
        <v>378</v>
      </c>
      <c r="B81" s="182">
        <f>'FIN-DATA'!B50/'FIN-DATA'!B12</f>
        <v>0.035393546101685804</v>
      </c>
      <c r="C81" s="125"/>
    </row>
    <row r="82" spans="1:3" ht="12.75">
      <c r="A82" s="271" t="s">
        <v>356</v>
      </c>
      <c r="B82" s="182">
        <f>'FIN-DATA'!B51/'FIN-DATA'!B12</f>
        <v>0.2706307860997837</v>
      </c>
      <c r="C82" s="125"/>
    </row>
    <row r="83" spans="1:3" ht="12.75">
      <c r="A83" s="263" t="s">
        <v>379</v>
      </c>
      <c r="B83" s="188">
        <f>'FIN-DATA'!B52/'FIN-DATA'!B12</f>
        <v>0.04154930499607512</v>
      </c>
      <c r="C83" s="125"/>
    </row>
    <row r="84" spans="1:3" ht="12.75">
      <c r="A84" s="259" t="s">
        <v>277</v>
      </c>
      <c r="B84" s="187">
        <f>'FIN-DATA'!B48/('FIN-DATA'!B13+'FIN-DATA'!B14)</f>
        <v>0.6843675554017985</v>
      </c>
      <c r="C84" s="125"/>
    </row>
    <row r="85" spans="1:3" ht="12.75">
      <c r="A85" s="249" t="s">
        <v>357</v>
      </c>
      <c r="B85" s="182">
        <f>('FIN-DATA'!B55-'FIN-DATA'!B123)/'FIN-DATA'!B12</f>
        <v>0.1779449882460291</v>
      </c>
      <c r="C85" s="272"/>
    </row>
    <row r="86" spans="1:3" ht="12.75">
      <c r="A86" s="249" t="s">
        <v>358</v>
      </c>
      <c r="B86" s="182">
        <f>'FIN-DATA'!B123/'FIN-DATA'!B12</f>
        <v>0.01933633310567409</v>
      </c>
      <c r="C86" s="125"/>
    </row>
    <row r="87" spans="1:3" ht="12.75">
      <c r="A87" s="249" t="s">
        <v>359</v>
      </c>
      <c r="B87" s="182">
        <f>'FIN-DATA'!B56/'FIN-DATA'!B12</f>
        <v>0.047308096008336326</v>
      </c>
      <c r="C87" s="125"/>
    </row>
    <row r="88" spans="1:3" ht="12.75">
      <c r="A88" s="249" t="s">
        <v>360</v>
      </c>
      <c r="B88" s="182">
        <f>'FIN-DATA'!B57/'FIN-DATA'!B12</f>
        <v>0.00033769837194925703</v>
      </c>
      <c r="C88" s="125"/>
    </row>
    <row r="89" spans="1:3" ht="12.75">
      <c r="A89" s="249" t="s">
        <v>389</v>
      </c>
      <c r="B89" s="188">
        <f>'FIN-DATA'!B58/'FIN-DATA'!B12</f>
        <v>0</v>
      </c>
      <c r="C89" s="125"/>
    </row>
    <row r="90" spans="1:3" ht="12.75">
      <c r="A90" s="266" t="s">
        <v>369</v>
      </c>
      <c r="B90" s="188">
        <f>B79+B85+B86+B87+B88+B89</f>
        <v>0.8434340754197626</v>
      </c>
      <c r="C90" s="125"/>
    </row>
    <row r="91" spans="1:3" ht="12.75">
      <c r="A91" s="249" t="s">
        <v>361</v>
      </c>
      <c r="B91" s="191">
        <f>'FIN-DATA'!B59/'FIN-DATA'!B22</f>
        <v>0</v>
      </c>
      <c r="C91" s="125"/>
    </row>
    <row r="92" spans="1:3" ht="12.75">
      <c r="A92" s="249" t="s">
        <v>298</v>
      </c>
      <c r="B92" s="182">
        <f>'FIN-DATA'!B62/'FIN-DATA'!B25</f>
        <v>0</v>
      </c>
      <c r="C92" s="125"/>
    </row>
    <row r="93" spans="1:3" ht="12.75">
      <c r="A93" s="263" t="s">
        <v>299</v>
      </c>
      <c r="B93" s="188">
        <f>'FIN-DATA'!B66/'FIN-DATA'!B25</f>
        <v>0</v>
      </c>
      <c r="C93" s="125"/>
    </row>
    <row r="94" spans="1:3" ht="12.75">
      <c r="A94" s="249" t="s">
        <v>370</v>
      </c>
      <c r="B94" s="192">
        <f>('FIN-DATA'!B48+'FIN-DATA'!B54)/'FIN-DATA'!B6</f>
        <v>81.97066309444072</v>
      </c>
      <c r="C94" s="125"/>
    </row>
    <row r="95" spans="1:3" ht="12.75">
      <c r="A95" s="249" t="s">
        <v>371</v>
      </c>
      <c r="B95" s="192">
        <f>'FIN-DATA'!B48/'FIN-DATA'!B6</f>
        <v>58.1669792364367</v>
      </c>
      <c r="C95" s="125"/>
    </row>
    <row r="96" spans="1:3" ht="12.75">
      <c r="A96" s="271" t="s">
        <v>372</v>
      </c>
      <c r="B96" s="192">
        <f>('FIN-DATA'!B49+'FIN-DATA'!B50)/'FIN-DATA'!B6</f>
        <v>27.8271935699933</v>
      </c>
      <c r="C96" s="125"/>
    </row>
    <row r="97" spans="1:3" ht="12.75">
      <c r="A97" s="263" t="s">
        <v>330</v>
      </c>
      <c r="B97" s="188">
        <f>B96/B94</f>
        <v>0.3394774730312088</v>
      </c>
      <c r="C97" s="125"/>
    </row>
    <row r="98" spans="1:3" ht="12.75">
      <c r="A98" s="273" t="s">
        <v>17</v>
      </c>
      <c r="B98" s="182">
        <f>SUM(B99:B104)</f>
        <v>1.0000227355401965</v>
      </c>
      <c r="C98" s="125"/>
    </row>
    <row r="99" spans="1:3" ht="12.75">
      <c r="A99" s="249" t="s">
        <v>303</v>
      </c>
      <c r="B99" s="191">
        <f>('FIN-DATA'!B72+'FIN-DATA'!B73)/'FIN-DATA'!B35</f>
        <v>0.7099854492542743</v>
      </c>
      <c r="C99" s="125"/>
    </row>
    <row r="100" spans="1:3" ht="12.75">
      <c r="A100" s="249" t="s">
        <v>347</v>
      </c>
      <c r="B100" s="182">
        <f>'FIN-DATA'!B76/'FIN-DATA'!B35</f>
        <v>0.11713350309203346</v>
      </c>
      <c r="C100" s="125"/>
    </row>
    <row r="101" spans="1:3" ht="12.75">
      <c r="A101" s="249" t="s">
        <v>304</v>
      </c>
      <c r="B101" s="182">
        <f>'FIN-DATA'!B74/'FIN-DATA'!B35</f>
        <v>0</v>
      </c>
      <c r="C101" s="125"/>
    </row>
    <row r="102" spans="1:3" ht="12.75">
      <c r="A102" s="249" t="s">
        <v>297</v>
      </c>
      <c r="B102" s="182">
        <f>'FIN-DATA'!B77/'FIN-DATA'!B35</f>
        <v>0</v>
      </c>
      <c r="C102" s="125"/>
    </row>
    <row r="103" spans="1:3" ht="12.75">
      <c r="A103" s="249" t="s">
        <v>305</v>
      </c>
      <c r="B103" s="182">
        <f>'FIN-DATA'!B78/'FIN-DATA'!B35</f>
        <v>0.1729037831938887</v>
      </c>
      <c r="C103" s="125"/>
    </row>
    <row r="104" spans="1:3" ht="12.75">
      <c r="A104" s="263" t="s">
        <v>306</v>
      </c>
      <c r="B104" s="188">
        <f>'FIN-DATA'!B79/'FIN-DATA'!B35</f>
        <v>0</v>
      </c>
      <c r="C104" s="125"/>
    </row>
    <row r="105" spans="1:4" ht="12.75">
      <c r="A105" s="274" t="s">
        <v>247</v>
      </c>
      <c r="B105" s="173">
        <v>68780</v>
      </c>
      <c r="C105" s="125"/>
      <c r="D105" s="275"/>
    </row>
    <row r="106" spans="1:3" ht="12.75">
      <c r="A106" s="258" t="s">
        <v>23</v>
      </c>
      <c r="B106" s="182">
        <f>SUM(B107:B111)</f>
        <v>0.3544807638580749</v>
      </c>
      <c r="C106" s="125"/>
    </row>
    <row r="107" spans="1:3" ht="12.75">
      <c r="A107" s="249" t="s">
        <v>303</v>
      </c>
      <c r="B107" s="191">
        <f>'FIN-DATA'!B83/'FIN-DATA'!B44</f>
        <v>0.08744597281795921</v>
      </c>
      <c r="C107" s="125"/>
    </row>
    <row r="108" spans="1:3" ht="12.75">
      <c r="A108" s="249" t="s">
        <v>307</v>
      </c>
      <c r="B108" s="182">
        <f>'FIN-DATA'!B84/'FIN-DATA'!B44</f>
        <v>0.21608243356505447</v>
      </c>
      <c r="C108" s="125"/>
    </row>
    <row r="109" spans="1:3" ht="12.75">
      <c r="A109" s="249" t="s">
        <v>297</v>
      </c>
      <c r="B109" s="182">
        <f>'FIN-DATA'!B86/'FIN-DATA'!B44</f>
        <v>0.050952357475061216</v>
      </c>
      <c r="C109" s="125"/>
    </row>
    <row r="110" spans="1:3" ht="12.75">
      <c r="A110" s="249" t="s">
        <v>305</v>
      </c>
      <c r="B110" s="182">
        <f>'FIN-DATA'!B87/'FIN-DATA'!B44</f>
        <v>0</v>
      </c>
      <c r="C110" s="125"/>
    </row>
    <row r="111" spans="1:3" ht="13.5" thickBot="1">
      <c r="A111" s="276" t="s">
        <v>306</v>
      </c>
      <c r="B111" s="193">
        <f>'FIN-DATA'!B88/'FIN-DATA'!B44</f>
        <v>0</v>
      </c>
      <c r="C111" s="125"/>
    </row>
    <row r="112" spans="1:3" ht="13.5" thickBot="1">
      <c r="A112" s="277" t="s">
        <v>342</v>
      </c>
      <c r="B112" s="194">
        <f>'FIN-DATA'!B91/'FIN-DATA'!B45</f>
        <v>0.13546754496928684</v>
      </c>
      <c r="C112" s="125"/>
    </row>
    <row r="113" spans="1:3" ht="13.5" thickBot="1">
      <c r="A113" s="278" t="s">
        <v>386</v>
      </c>
      <c r="B113" s="188"/>
      <c r="C113" s="125"/>
    </row>
    <row r="114" spans="1:3" ht="12.75">
      <c r="A114" s="279" t="s">
        <v>254</v>
      </c>
      <c r="B114" s="182">
        <f>SUM(B115:B120)</f>
        <v>0.5950622820961945</v>
      </c>
      <c r="C114" s="125"/>
    </row>
    <row r="115" spans="1:3" ht="12.75">
      <c r="A115" s="249" t="s">
        <v>308</v>
      </c>
      <c r="B115" s="191">
        <f>'FIN-DATA'!B94/'FIN-DATA'!B90</f>
        <v>0.22728178134634192</v>
      </c>
      <c r="C115" s="125"/>
    </row>
    <row r="116" spans="1:3" ht="12.75">
      <c r="A116" s="249" t="s">
        <v>309</v>
      </c>
      <c r="B116" s="182">
        <f>'FIN-DATA'!B95/'FIN-DATA'!B90</f>
        <v>0.04649342738510293</v>
      </c>
      <c r="C116" s="125"/>
    </row>
    <row r="117" spans="1:3" ht="12.75">
      <c r="A117" s="279" t="s">
        <v>310</v>
      </c>
      <c r="B117" s="182">
        <f>'FIN-DATA'!B96/'FIN-DATA'!B90</f>
        <v>0.005961552548149272</v>
      </c>
      <c r="C117" s="125"/>
    </row>
    <row r="118" spans="1:3" ht="12.75">
      <c r="A118" s="249" t="s">
        <v>311</v>
      </c>
      <c r="B118" s="182">
        <f>'FIN-DATA'!B97/'FIN-DATA'!B90</f>
        <v>0.010895672187860228</v>
      </c>
      <c r="C118" s="125"/>
    </row>
    <row r="119" spans="1:3" ht="12.75">
      <c r="A119" s="249" t="s">
        <v>312</v>
      </c>
      <c r="B119" s="182">
        <f>'FIN-DATA'!B98/'FIN-DATA'!B90</f>
        <v>0.0145736121302623</v>
      </c>
      <c r="C119" s="125"/>
    </row>
    <row r="120" spans="1:3" ht="12.75">
      <c r="A120" s="271" t="s">
        <v>313</v>
      </c>
      <c r="B120" s="182">
        <f>'FIN-DATA'!B99/'FIN-DATA'!B90</f>
        <v>0.2898562364984778</v>
      </c>
      <c r="C120" s="125"/>
    </row>
    <row r="121" spans="1:3" ht="12.75">
      <c r="A121" s="266" t="s">
        <v>255</v>
      </c>
      <c r="B121" s="187">
        <f>SUM(B122:B125)</f>
        <v>0</v>
      </c>
      <c r="C121" s="125"/>
    </row>
    <row r="122" spans="1:3" ht="12.75">
      <c r="A122" s="271" t="s">
        <v>384</v>
      </c>
      <c r="B122" s="182">
        <f>'FIN-DATA'!B101/'FIN-DATA'!B90</f>
        <v>0</v>
      </c>
      <c r="C122" s="125"/>
    </row>
    <row r="123" spans="1:3" ht="12.75">
      <c r="A123" s="271" t="s">
        <v>385</v>
      </c>
      <c r="B123" s="182">
        <f>'FIN-DATA'!B102/'FIN-DATA'!B90</f>
        <v>0</v>
      </c>
      <c r="C123" s="125"/>
    </row>
    <row r="124" spans="1:3" ht="12.75">
      <c r="A124" s="280" t="s">
        <v>314</v>
      </c>
      <c r="B124" s="182">
        <f>'FIN-DATA'!B103/'FIN-DATA'!B90</f>
        <v>0</v>
      </c>
      <c r="C124" s="125"/>
    </row>
    <row r="125" spans="1:3" ht="12.75">
      <c r="A125" s="281" t="s">
        <v>315</v>
      </c>
      <c r="B125" s="188">
        <f>'FIN-DATA'!B104/'FIN-DATA'!B90</f>
        <v>0</v>
      </c>
      <c r="C125" s="125"/>
    </row>
    <row r="126" spans="1:3" ht="12.75">
      <c r="A126" s="266" t="s">
        <v>41</v>
      </c>
      <c r="B126" s="195">
        <f>SUM(B127:B133)</f>
        <v>0.037539532714003544</v>
      </c>
      <c r="C126" s="125"/>
    </row>
    <row r="127" spans="1:3" ht="12.75">
      <c r="A127" s="249" t="s">
        <v>316</v>
      </c>
      <c r="B127" s="191">
        <f>'FIN-DATA'!B106/'FIN-DATA'!B90</f>
        <v>0.037539532714003544</v>
      </c>
      <c r="C127" s="125"/>
    </row>
    <row r="128" spans="1:3" ht="12.75">
      <c r="A128" s="249" t="s">
        <v>317</v>
      </c>
      <c r="B128" s="182">
        <f>'FIN-DATA'!B107/'FIN-DATA'!B90</f>
        <v>0</v>
      </c>
      <c r="C128" s="125"/>
    </row>
    <row r="129" spans="1:3" ht="12.75">
      <c r="A129" s="249" t="s">
        <v>318</v>
      </c>
      <c r="B129" s="182">
        <f>'FIN-DATA'!B108/'FIN-DATA'!B90</f>
        <v>0</v>
      </c>
      <c r="C129" s="125"/>
    </row>
    <row r="130" spans="1:3" ht="12.75">
      <c r="A130" s="249" t="s">
        <v>319</v>
      </c>
      <c r="B130" s="182">
        <f>'FIN-DATA'!B109/'FIN-DATA'!B90</f>
        <v>0</v>
      </c>
      <c r="C130" s="125"/>
    </row>
    <row r="131" spans="1:3" ht="12.75">
      <c r="A131" s="249" t="s">
        <v>320</v>
      </c>
      <c r="B131" s="182">
        <f>'FIN-DATA'!B110/'FIN-DATA'!B90</f>
        <v>0</v>
      </c>
      <c r="C131" s="125"/>
    </row>
    <row r="132" spans="1:3" ht="12.75">
      <c r="A132" s="249" t="s">
        <v>321</v>
      </c>
      <c r="B132" s="182">
        <f>'FIN-DATA'!B111/'FIN-DATA'!B90</f>
        <v>0</v>
      </c>
      <c r="C132" s="125"/>
    </row>
    <row r="133" spans="1:3" ht="13.5" thickBot="1">
      <c r="A133" s="276" t="s">
        <v>322</v>
      </c>
      <c r="B133" s="193">
        <f>'FIN-DATA'!B112/'FIN-DATA'!B90</f>
        <v>0</v>
      </c>
      <c r="C133" s="125"/>
    </row>
    <row r="134" spans="1:3" ht="13.5" thickBot="1">
      <c r="A134" s="282" t="s">
        <v>390</v>
      </c>
      <c r="B134" s="182">
        <f>SUM(B135:B136)</f>
        <v>0.019336333105674088</v>
      </c>
      <c r="C134" s="125"/>
    </row>
    <row r="135" spans="1:3" ht="12.75">
      <c r="A135" s="249" t="s">
        <v>392</v>
      </c>
      <c r="B135" s="191">
        <f>'FIN-DATA'!B124/'FIN-DATA'!B12</f>
        <v>0.018560316030541715</v>
      </c>
      <c r="C135" s="125"/>
    </row>
    <row r="136" spans="1:3" ht="12.75">
      <c r="A136" s="263" t="s">
        <v>393</v>
      </c>
      <c r="B136" s="188">
        <f>'FIN-DATA'!B125/'FIN-DATA'!B12</f>
        <v>0.0007760170751323743</v>
      </c>
      <c r="C136" s="125"/>
    </row>
    <row r="137" spans="1:3" ht="12.75">
      <c r="A137" s="249" t="s">
        <v>326</v>
      </c>
      <c r="B137" s="182">
        <f>'FIN-DATA'!B124/'FIN-DATA'!B14</f>
        <v>0.058164171077951785</v>
      </c>
      <c r="C137" s="125"/>
    </row>
    <row r="138" spans="1:3" ht="12.75">
      <c r="A138" s="263" t="s">
        <v>325</v>
      </c>
      <c r="B138" s="188">
        <f>'FIN-DATA'!B125/'FIN-DATA'!B14</f>
        <v>0.002431876151415607</v>
      </c>
      <c r="C138" s="125"/>
    </row>
    <row r="139" spans="1:3" ht="12.75">
      <c r="A139" s="283" t="s">
        <v>391</v>
      </c>
      <c r="B139" s="187">
        <f>'FIN-DATA'!B132/'FIN-DATA'!B90</f>
        <v>0</v>
      </c>
      <c r="C139" s="125"/>
    </row>
    <row r="140" spans="1:3" ht="13.5" thickBot="1">
      <c r="A140" s="279" t="s">
        <v>32</v>
      </c>
      <c r="B140" s="196"/>
      <c r="C140" s="125"/>
    </row>
    <row r="141" spans="1:3" ht="13.5" thickBot="1">
      <c r="A141" s="282" t="s">
        <v>394</v>
      </c>
      <c r="B141" s="197">
        <f>'FIN-DATA'!B127/'FIN-DATA'!B12</f>
        <v>0.04906757344422705</v>
      </c>
      <c r="C141" s="125"/>
    </row>
    <row r="142" spans="1:3" ht="13.5" thickBot="1">
      <c r="A142" s="282" t="s">
        <v>395</v>
      </c>
      <c r="B142" s="188">
        <f>SUM(B143:B146)</f>
        <v>0.25604476240533675</v>
      </c>
      <c r="C142" s="125"/>
    </row>
    <row r="143" spans="1:3" ht="12.75">
      <c r="A143" s="249" t="s">
        <v>253</v>
      </c>
      <c r="B143" s="182">
        <f>SUM(B144:B146)</f>
        <v>0.12802238120266837</v>
      </c>
      <c r="C143" s="125"/>
    </row>
    <row r="144" spans="1:3" ht="12.75">
      <c r="A144" s="249" t="s">
        <v>396</v>
      </c>
      <c r="B144" s="182">
        <f>(('FIN-DATA'!B118-'FIN-DATA'!B127)/'FIN-DATA'!B90)</f>
        <v>-0.04574743013263458</v>
      </c>
      <c r="C144" s="125"/>
    </row>
    <row r="145" spans="1:3" ht="12.75">
      <c r="A145" s="249" t="s">
        <v>323</v>
      </c>
      <c r="B145" s="182">
        <f>'FIN-DATA'!B116/'FIN-DATA'!B90</f>
        <v>0.1634941971566003</v>
      </c>
      <c r="C145" s="125"/>
    </row>
    <row r="146" spans="1:3" ht="12.75">
      <c r="A146" s="249" t="s">
        <v>141</v>
      </c>
      <c r="B146" s="182">
        <f>'FIN-DATA'!B117/'FIN-DATA'!B90</f>
        <v>0.010275614178702645</v>
      </c>
      <c r="C146" s="125"/>
    </row>
    <row r="147" spans="1:3" ht="12.75">
      <c r="A147" s="249" t="s">
        <v>136</v>
      </c>
      <c r="B147" s="182"/>
      <c r="C147" s="125"/>
    </row>
    <row r="148" spans="1:3" ht="13.5" thickBot="1">
      <c r="A148" s="284" t="s">
        <v>324</v>
      </c>
      <c r="B148" s="193">
        <f>('FIN-DATA'!B120+'FIN-DATA'!B121+'FIN-DATA'!B122)/'FIN-DATA'!B90</f>
        <v>0</v>
      </c>
      <c r="C148" s="125"/>
    </row>
    <row r="149" spans="1:3" ht="13.5" thickBot="1">
      <c r="A149" s="277" t="s">
        <v>278</v>
      </c>
      <c r="B149" s="198">
        <f>'FIN-DATA'!B90/'FIN-DATA'!B45</f>
        <v>0.8649854270831713</v>
      </c>
      <c r="C149" s="125"/>
    </row>
    <row r="150" spans="1:3" ht="12.75">
      <c r="A150" s="285" t="s">
        <v>436</v>
      </c>
      <c r="B150" s="350">
        <v>14</v>
      </c>
      <c r="C150" s="125" t="s">
        <v>511</v>
      </c>
    </row>
    <row r="151" spans="1:3" ht="12.75">
      <c r="A151" s="286" t="s">
        <v>437</v>
      </c>
      <c r="B151" s="348">
        <f>6+2</f>
        <v>8</v>
      </c>
      <c r="C151" s="125"/>
    </row>
    <row r="152" spans="1:4" ht="12.75">
      <c r="A152" s="286" t="s">
        <v>441</v>
      </c>
      <c r="B152" s="351">
        <f>729676/1241570</f>
        <v>0.5877042776484612</v>
      </c>
      <c r="C152" s="125"/>
      <c r="D152" s="287"/>
    </row>
    <row r="153" spans="1:3" ht="13.5" thickBot="1">
      <c r="A153" s="288" t="s">
        <v>442</v>
      </c>
      <c r="B153" s="352">
        <f>18/20</f>
        <v>0.9</v>
      </c>
      <c r="C153" s="125"/>
    </row>
    <row r="154" spans="1:3" ht="12.75">
      <c r="A154" s="289" t="s">
        <v>401</v>
      </c>
      <c r="B154" s="199">
        <f>(('FIN-DATA'!B150+'FIN-DATA'!B151+'FIN-DATA'!B152)-('FIN-DATA'!B153+'FIN-DATA'!B154+'FIN-DATA'!B155))/('FIN-DATA'!B163+'FIN-DATA'!B165+'FIN-DATA'!B167)</f>
        <v>0.006760792605896885</v>
      </c>
      <c r="C154" s="125"/>
    </row>
    <row r="155" spans="1:3" ht="12.75">
      <c r="A155" s="271" t="s">
        <v>402</v>
      </c>
      <c r="B155" s="200">
        <f>('FIN-DATA'!B158+'FIN-DATA'!B157)-(('FIN-DATA'!B188+'FIN-DATA'!B189+'FIN-DATA'!B197+'FIN-DATA'!B198)-('FIN-DATA'!B156+'FIN-DATA'!B157))</f>
        <v>941833</v>
      </c>
      <c r="C155" s="125"/>
    </row>
    <row r="156" spans="1:3" ht="13.5" thickBot="1">
      <c r="A156" s="276" t="s">
        <v>508</v>
      </c>
      <c r="B156" s="200">
        <f>('FIN-DATA'!B159+'FIN-DATA'!B158)-(('FIN-DATA'!B189+'FIN-DATA'!B190+'FIN-DATA'!B198+'FIN-DATA'!B199)-('FIN-DATA'!B157+'FIN-DATA'!B158))</f>
        <v>2071824</v>
      </c>
      <c r="C156" s="269"/>
    </row>
    <row r="157" spans="1:3" ht="13.5" thickBot="1">
      <c r="A157" s="290" t="s">
        <v>223</v>
      </c>
      <c r="B157" s="183"/>
      <c r="C157" s="125"/>
    </row>
    <row r="158" spans="1:3" ht="12.75">
      <c r="A158" s="279" t="s">
        <v>279</v>
      </c>
      <c r="B158" s="182">
        <f>SUM(B159:B164)</f>
        <v>0.3823521852386356</v>
      </c>
      <c r="C158" s="125"/>
    </row>
    <row r="159" spans="1:3" ht="12.75">
      <c r="A159" s="249" t="s">
        <v>203</v>
      </c>
      <c r="B159" s="191">
        <f>SUPPLEMENTARY!B13/SUPPLEMENTARY!I19</f>
        <v>0.31768302634571866</v>
      </c>
      <c r="C159" s="125"/>
    </row>
    <row r="160" spans="1:3" ht="12.75">
      <c r="A160" s="249" t="s">
        <v>225</v>
      </c>
      <c r="B160" s="182">
        <f>SUPPLEMENTARY!C13/SUPPLEMENTARY!I19</f>
        <v>0.030319230279906392</v>
      </c>
      <c r="C160" s="125"/>
    </row>
    <row r="161" spans="1:3" ht="12.75">
      <c r="A161" s="249" t="s">
        <v>205</v>
      </c>
      <c r="B161" s="182">
        <f>SUPPLEMENTARY!D13/SUPPLEMENTARY!I19</f>
        <v>0</v>
      </c>
      <c r="C161" s="125"/>
    </row>
    <row r="162" spans="1:3" ht="12.75">
      <c r="A162" s="249" t="s">
        <v>206</v>
      </c>
      <c r="B162" s="182">
        <f>SUPPLEMENTARY!E13/SUPPLEMENTARY!I19</f>
        <v>0.01634318700821047</v>
      </c>
      <c r="C162" s="125"/>
    </row>
    <row r="163" spans="1:3" ht="12.75">
      <c r="A163" s="249" t="s">
        <v>207</v>
      </c>
      <c r="B163" s="182">
        <f>SUPPLEMENTARY!F13/SUPPLEMENTARY!I19</f>
        <v>0.018006741604800085</v>
      </c>
      <c r="C163" s="125"/>
    </row>
    <row r="164" spans="1:3" ht="12.75">
      <c r="A164" s="249" t="s">
        <v>209</v>
      </c>
      <c r="B164" s="188">
        <f>SUPPLEMENTARY!H13/SUPPLEMENTARY!I19</f>
        <v>0</v>
      </c>
      <c r="C164" s="125"/>
    </row>
    <row r="165" spans="1:3" ht="12.75">
      <c r="A165" s="266" t="s">
        <v>224</v>
      </c>
      <c r="B165" s="182">
        <f>SUM(B166:B172)</f>
        <v>0.05229113040751626</v>
      </c>
      <c r="C165" s="125"/>
    </row>
    <row r="166" spans="1:3" ht="12.75">
      <c r="A166" s="249" t="s">
        <v>203</v>
      </c>
      <c r="B166" s="191">
        <f>SUPPLEMENTARY!B14/SUPPLEMENTARY!I19</f>
        <v>0.017094967185116553</v>
      </c>
      <c r="C166" s="125"/>
    </row>
    <row r="167" spans="1:3" ht="12.75">
      <c r="A167" s="249" t="s">
        <v>204</v>
      </c>
      <c r="B167" s="182">
        <f>SUPPLEMENTARY!$C$14/SUPPLEMENTARY!I19</f>
        <v>0.02434868207152064</v>
      </c>
      <c r="C167" s="125"/>
    </row>
    <row r="168" spans="1:3" ht="12.75">
      <c r="A168" s="249" t="s">
        <v>205</v>
      </c>
      <c r="B168" s="182">
        <f>SUPPLEMENTARY!D14/SUPPLEMENTARY!I19</f>
        <v>0</v>
      </c>
      <c r="C168" s="125"/>
    </row>
    <row r="169" spans="1:3" ht="12.75">
      <c r="A169" s="249" t="s">
        <v>206</v>
      </c>
      <c r="B169" s="182">
        <f>SUPPLEMENTARY!E14/SUPPLEMENTARY!I19</f>
        <v>0.0051609387871022795</v>
      </c>
      <c r="C169" s="125"/>
    </row>
    <row r="170" spans="1:3" ht="12.75">
      <c r="A170" s="249" t="s">
        <v>207</v>
      </c>
      <c r="B170" s="182">
        <f>SUPPLEMENTARY!F14/SUPPLEMENTARY!I19</f>
        <v>0.005686542363776789</v>
      </c>
      <c r="C170" s="125"/>
    </row>
    <row r="171" spans="1:3" ht="12.75">
      <c r="A171" s="249" t="s">
        <v>208</v>
      </c>
      <c r="B171" s="182">
        <v>0</v>
      </c>
      <c r="C171" s="125"/>
    </row>
    <row r="172" spans="1:3" ht="12.75">
      <c r="A172" s="249" t="s">
        <v>209</v>
      </c>
      <c r="B172" s="188">
        <f>SUPPLEMENTARY!H14/SUPPLEMENTARY!I19</f>
        <v>0</v>
      </c>
      <c r="C172" s="125"/>
    </row>
    <row r="173" spans="1:3" ht="12.75">
      <c r="A173" s="266" t="s">
        <v>211</v>
      </c>
      <c r="B173" s="182">
        <f>SUM(B174:B179)</f>
        <v>0.5055882326483352</v>
      </c>
      <c r="C173" s="125"/>
    </row>
    <row r="174" spans="1:3" ht="12.75">
      <c r="A174" s="249" t="s">
        <v>203</v>
      </c>
      <c r="B174" s="191">
        <f>SUPPLEMENTARY!B15/SUPPLEMENTARY!I19</f>
        <v>0.2424715962028033</v>
      </c>
      <c r="C174" s="125"/>
    </row>
    <row r="175" spans="1:3" ht="12.75">
      <c r="A175" s="249" t="s">
        <v>204</v>
      </c>
      <c r="B175" s="182">
        <f>SUPPLEMENTARY!C15/SUPPLEMENTARY!I19</f>
        <v>0.1983581634974099</v>
      </c>
      <c r="C175" s="125"/>
    </row>
    <row r="176" spans="1:3" ht="12.75">
      <c r="A176" s="249" t="s">
        <v>205</v>
      </c>
      <c r="B176" s="182">
        <f>SUPPLEMENTARY!D15/SUPPLEMENTARY!I19</f>
        <v>0.037539532714003544</v>
      </c>
      <c r="C176" s="125"/>
    </row>
    <row r="177" spans="1:3" ht="12.75">
      <c r="A177" s="249" t="s">
        <v>206</v>
      </c>
      <c r="B177" s="182">
        <f>SUPPLEMENTARY!E15/SUPPLEMENTARY!I19</f>
        <v>0.00430056814019865</v>
      </c>
      <c r="C177" s="125"/>
    </row>
    <row r="178" spans="1:3" ht="12.75">
      <c r="A178" s="249" t="s">
        <v>207</v>
      </c>
      <c r="B178" s="182">
        <f>SUPPLEMENTARY!F15/SUPPLEMENTARY!I19</f>
        <v>0.004738785303147325</v>
      </c>
      <c r="C178" s="125"/>
    </row>
    <row r="179" spans="1:3" ht="12.75">
      <c r="A179" s="249" t="s">
        <v>208</v>
      </c>
      <c r="B179" s="188">
        <f>(SUPPLEMENTARY!G15+SUPPLEMENTARY!H15)/SUPPLEMENTARY!I19</f>
        <v>0.018179586790772508</v>
      </c>
      <c r="C179" s="125"/>
    </row>
    <row r="180" spans="1:3" ht="12.75">
      <c r="A180" s="266" t="s">
        <v>210</v>
      </c>
      <c r="B180" s="182">
        <f>SUM(B181:B186)</f>
        <v>0.059768451705512926</v>
      </c>
      <c r="C180" s="125"/>
    </row>
    <row r="181" spans="1:3" ht="12.75">
      <c r="A181" s="249" t="s">
        <v>203</v>
      </c>
      <c r="B181" s="191">
        <f>SUPPLEMENTARY!B16/SUPPLEMENTARY!$I$19</f>
        <v>0.017812049815396202</v>
      </c>
      <c r="C181" s="125"/>
    </row>
    <row r="182" spans="1:3" ht="12.75">
      <c r="A182" s="249" t="s">
        <v>204</v>
      </c>
      <c r="B182" s="182">
        <f>SUPPLEMENTARY!C16/SUPPLEMENTARY!$I$19</f>
        <v>0.005798345569573079</v>
      </c>
      <c r="C182" s="125"/>
    </row>
    <row r="183" spans="1:3" ht="12.75">
      <c r="A183" s="249" t="s">
        <v>205</v>
      </c>
      <c r="B183" s="182">
        <f>SUPPLEMENTARY!D16/SUPPLEMENTARY!$I$19</f>
        <v>0</v>
      </c>
      <c r="C183" s="125"/>
    </row>
    <row r="184" spans="1:3" ht="12.75">
      <c r="A184" s="249" t="s">
        <v>206</v>
      </c>
      <c r="B184" s="182">
        <f>SUPPLEMENTARY!E16/SUPPLEMENTARY!$I$19</f>
        <v>0.017203557655114096</v>
      </c>
      <c r="C184" s="125"/>
    </row>
    <row r="185" spans="1:3" ht="12.75">
      <c r="A185" s="249" t="s">
        <v>207</v>
      </c>
      <c r="B185" s="182">
        <f>SUPPLEMENTARY!F16/SUPPLEMENTARY!$I$19</f>
        <v>0.01895449866542955</v>
      </c>
      <c r="C185" s="125"/>
    </row>
    <row r="186" spans="1:3" ht="12.75">
      <c r="A186" s="249" t="s">
        <v>212</v>
      </c>
      <c r="B186" s="188">
        <f>SUPPLEMENTARY!G16+SUPPLEMENTARY!H16/SUPPLEMENTARY!$I$19</f>
        <v>0</v>
      </c>
      <c r="C186" s="125"/>
    </row>
    <row r="187" spans="1:3" ht="12.75">
      <c r="A187" s="266" t="s">
        <v>145</v>
      </c>
      <c r="B187" s="182">
        <f>SUM(B188:B194)</f>
        <v>0</v>
      </c>
      <c r="C187" s="125"/>
    </row>
    <row r="188" spans="1:3" ht="12.75">
      <c r="A188" s="249" t="s">
        <v>203</v>
      </c>
      <c r="B188" s="191">
        <f>(SUPPLEMENTARY!B17+SUPPLEMENTARY!B18)/SUPPLEMENTARY!I19</f>
        <v>0</v>
      </c>
      <c r="C188" s="125"/>
    </row>
    <row r="189" spans="1:3" ht="12.75">
      <c r="A189" s="249" t="s">
        <v>204</v>
      </c>
      <c r="B189" s="182">
        <f>(SUPPLEMENTARY!C17+SUPPLEMENTARY!C18)/SUPPLEMENTARY!I19</f>
        <v>0</v>
      </c>
      <c r="C189" s="125"/>
    </row>
    <row r="190" spans="1:3" ht="12.75">
      <c r="A190" s="249" t="s">
        <v>205</v>
      </c>
      <c r="B190" s="182">
        <f>(SUPPLEMENTARY!D17+SUPPLEMENTARY!D18)/SUPPLEMENTARY!I19</f>
        <v>0</v>
      </c>
      <c r="C190" s="125"/>
    </row>
    <row r="191" spans="1:3" ht="12.75">
      <c r="A191" s="249" t="s">
        <v>206</v>
      </c>
      <c r="B191" s="182">
        <f>(SUPPLEMENTARY!E17+SUPPLEMENTARY!E18)/SUPPLEMENTARY!I19</f>
        <v>0</v>
      </c>
      <c r="C191" s="125"/>
    </row>
    <row r="192" spans="1:3" ht="12.75">
      <c r="A192" s="249" t="s">
        <v>207</v>
      </c>
      <c r="B192" s="182">
        <f>(SUPPLEMENTARY!F17+SUPPLEMENTARY!F18)/SUPPLEMENTARY!I19</f>
        <v>0</v>
      </c>
      <c r="C192" s="125"/>
    </row>
    <row r="193" spans="1:3" ht="12.75">
      <c r="A193" s="249" t="s">
        <v>208</v>
      </c>
      <c r="B193" s="182">
        <f>(SUPPLEMENTARY!G17+SUPPLEMENTARY!G18)/SUPPLEMENTARY!I19</f>
        <v>0</v>
      </c>
      <c r="C193" s="125"/>
    </row>
    <row r="194" spans="1:3" ht="12.75">
      <c r="A194" s="249" t="s">
        <v>209</v>
      </c>
      <c r="B194" s="182">
        <f>(SUPPLEMENTARY!H17+SUPPLEMENTARY!H18)/SUPPLEMENTARY!I19</f>
        <v>0</v>
      </c>
      <c r="C194" s="125"/>
    </row>
    <row r="195" spans="1:3" ht="12.75">
      <c r="A195" s="266"/>
      <c r="B195" s="201">
        <f>B158+B165+B173+B180+B187</f>
        <v>1</v>
      </c>
      <c r="C195" s="125"/>
    </row>
    <row r="196" spans="1:3" ht="12.75">
      <c r="A196" s="291" t="s">
        <v>430</v>
      </c>
      <c r="B196" s="188"/>
      <c r="C196" s="292"/>
    </row>
    <row r="197" spans="1:3" ht="12.75">
      <c r="A197" s="279" t="s">
        <v>190</v>
      </c>
      <c r="B197" s="182"/>
      <c r="C197" s="125"/>
    </row>
    <row r="198" spans="1:3" ht="12.75">
      <c r="A198" s="249" t="s">
        <v>409</v>
      </c>
      <c r="B198" s="191">
        <f>'FIN-DATA'!B138/('FIN-DATA'!B14+'FIN-DATA'!B39)</f>
        <v>0</v>
      </c>
      <c r="C198" s="125"/>
    </row>
    <row r="199" spans="1:3" ht="12.75">
      <c r="A199" s="279" t="s">
        <v>419</v>
      </c>
      <c r="B199" s="182">
        <f>'FIN-DATA'!B139/('FIN-DATA'!B14+'FIN-DATA'!B39)</f>
        <v>0</v>
      </c>
      <c r="C199" s="125"/>
    </row>
    <row r="200" spans="1:3" ht="12.75">
      <c r="A200" s="283" t="s">
        <v>420</v>
      </c>
      <c r="B200" s="187">
        <f>SUM(B198:B199)</f>
        <v>0</v>
      </c>
      <c r="C200" s="125"/>
    </row>
    <row r="201" spans="1:3" ht="12.75">
      <c r="A201" s="249" t="s">
        <v>410</v>
      </c>
      <c r="B201" s="182">
        <f>'FIN-DATA'!B147/('FIN-DATA'!B94+'FIN-DATA'!B95)</f>
        <v>0</v>
      </c>
      <c r="C201" s="125"/>
    </row>
    <row r="202" spans="1:3" ht="12.75">
      <c r="A202" s="263" t="s">
        <v>411</v>
      </c>
      <c r="B202" s="188">
        <f>'FIN-DATA'!B148/('FIN-DATA'!B96+'FIN-DATA'!B97+'FIN-DATA'!B98+'FIN-DATA'!B99)</f>
        <v>0</v>
      </c>
      <c r="C202" s="125"/>
    </row>
    <row r="203" spans="1:3" ht="12.75">
      <c r="A203" s="266" t="s">
        <v>191</v>
      </c>
      <c r="B203" s="182"/>
      <c r="C203" s="125"/>
    </row>
    <row r="204" spans="1:3" ht="12.75">
      <c r="A204" s="249" t="s">
        <v>409</v>
      </c>
      <c r="B204" s="191">
        <f>'FIN-DATA'!B141/('FIN-DATA'!B14+'FIN-DATA'!B39)</f>
        <v>0</v>
      </c>
      <c r="C204" s="125"/>
    </row>
    <row r="205" spans="1:3" ht="12.75">
      <c r="A205" s="249" t="s">
        <v>412</v>
      </c>
      <c r="B205" s="182">
        <f>'FIN-DATA'!B142/('FIN-DATA'!B14+'FIN-DATA'!B39)</f>
        <v>0</v>
      </c>
      <c r="C205" s="125"/>
    </row>
    <row r="206" spans="1:3" ht="12.75">
      <c r="A206" s="283" t="s">
        <v>413</v>
      </c>
      <c r="B206" s="187">
        <f>SUM(B204:B205)</f>
        <v>0</v>
      </c>
      <c r="C206" s="125"/>
    </row>
    <row r="207" spans="1:3" ht="12.75">
      <c r="A207" s="266" t="s">
        <v>145</v>
      </c>
      <c r="B207" s="182"/>
      <c r="C207" s="125"/>
    </row>
    <row r="208" spans="1:3" ht="12.75">
      <c r="A208" s="249" t="s">
        <v>414</v>
      </c>
      <c r="B208" s="191">
        <f>'FIN-DATA'!B144/('FIN-DATA'!B14+'FIN-DATA'!B39)</f>
        <v>0</v>
      </c>
      <c r="C208" s="125"/>
    </row>
    <row r="209" spans="1:3" ht="12.75">
      <c r="A209" s="279" t="s">
        <v>421</v>
      </c>
      <c r="B209" s="182">
        <f>'FIN-DATA'!B145/('FIN-DATA'!B14+'FIN-DATA'!B39)</f>
        <v>0</v>
      </c>
      <c r="C209" s="125"/>
    </row>
    <row r="210" spans="1:3" ht="13.5" thickBot="1">
      <c r="A210" s="290" t="s">
        <v>432</v>
      </c>
      <c r="B210" s="187">
        <f>SUM(B208:B209)</f>
        <v>0</v>
      </c>
      <c r="C210" s="125"/>
    </row>
    <row r="211" spans="1:3" ht="12.75">
      <c r="A211" s="293" t="s">
        <v>415</v>
      </c>
      <c r="B211" s="187"/>
      <c r="C211" s="125"/>
    </row>
    <row r="212" spans="1:3" ht="12.75">
      <c r="A212" s="249" t="s">
        <v>434</v>
      </c>
      <c r="B212" s="182">
        <f>'FIN-DATA'!B124/('FIN-DATA'!B14+'FIN-DATA'!B39)</f>
        <v>0.037335614330354545</v>
      </c>
      <c r="C212" s="125"/>
    </row>
    <row r="213" spans="1:3" ht="12.75">
      <c r="A213" s="249" t="s">
        <v>433</v>
      </c>
      <c r="B213" s="182">
        <f>'FIN-DATA'!B125/('FIN-DATA'!B14+'FIN-DATA'!B39)</f>
        <v>0.0015610226778054739</v>
      </c>
      <c r="C213" s="125"/>
    </row>
    <row r="214" spans="1:3" ht="13.5" thickBot="1">
      <c r="A214" s="279" t="s">
        <v>431</v>
      </c>
      <c r="B214" s="188">
        <f>SUM(B212:B213)</f>
        <v>0.03889663700816002</v>
      </c>
      <c r="C214" s="125"/>
    </row>
    <row r="215" spans="1:3" ht="12.75">
      <c r="A215" s="293" t="s">
        <v>349</v>
      </c>
      <c r="B215" s="183"/>
      <c r="C215" s="125"/>
    </row>
    <row r="216" spans="1:3" ht="12.75">
      <c r="A216" s="249" t="s">
        <v>434</v>
      </c>
      <c r="B216" s="191">
        <f>'FIN-DATA'!B130/('FIN-DATA'!B14+'FIN-DATA'!B39)</f>
        <v>1.585749498836858</v>
      </c>
      <c r="C216" s="125"/>
    </row>
    <row r="217" spans="1:3" ht="12.75">
      <c r="A217" s="249" t="s">
        <v>433</v>
      </c>
      <c r="B217" s="182">
        <f>'FIN-DATA'!B131/('FIN-DATA'!B14+'FIN-DATA'!B39)</f>
        <v>0.0012421636938842848</v>
      </c>
      <c r="C217" s="125"/>
    </row>
    <row r="218" spans="1:3" ht="13.5" thickBot="1">
      <c r="A218" s="294" t="s">
        <v>435</v>
      </c>
      <c r="B218" s="202"/>
      <c r="C218" s="125"/>
    </row>
    <row r="219" spans="1:3" ht="12.75">
      <c r="A219" s="295" t="s">
        <v>240</v>
      </c>
      <c r="B219" s="203" t="s">
        <v>218</v>
      </c>
      <c r="C219" s="125"/>
    </row>
    <row r="220" spans="1:3" ht="12.75">
      <c r="A220" s="257" t="s">
        <v>192</v>
      </c>
      <c r="B220" s="204"/>
      <c r="C220" s="125"/>
    </row>
    <row r="221" spans="1:3" ht="12.75">
      <c r="A221" s="257" t="s">
        <v>193</v>
      </c>
      <c r="B221" s="205"/>
      <c r="C221" s="125"/>
    </row>
    <row r="222" spans="1:4" ht="12.75">
      <c r="A222" s="257" t="s">
        <v>241</v>
      </c>
      <c r="B222" s="348">
        <f>396738/818</f>
        <v>485.00977995110026</v>
      </c>
      <c r="C222" s="125"/>
      <c r="D222" s="166" t="s">
        <v>511</v>
      </c>
    </row>
    <row r="223" spans="1:3" ht="12.75">
      <c r="A223" s="257" t="s">
        <v>484</v>
      </c>
      <c r="B223" s="348">
        <f>111102/114</f>
        <v>974.578947368421</v>
      </c>
      <c r="C223" s="125"/>
    </row>
    <row r="224" spans="1:3" ht="12.75">
      <c r="A224" s="257" t="s">
        <v>194</v>
      </c>
      <c r="B224" s="348">
        <f>92512/103</f>
        <v>898.1747572815534</v>
      </c>
      <c r="C224" s="125"/>
    </row>
    <row r="225" spans="1:5" ht="12.75">
      <c r="A225" s="257" t="s">
        <v>195</v>
      </c>
      <c r="B225" s="348">
        <f>82363/189</f>
        <v>435.78306878306876</v>
      </c>
      <c r="C225" s="125"/>
      <c r="E225" s="166" t="s">
        <v>511</v>
      </c>
    </row>
    <row r="226" spans="1:3" ht="12.75">
      <c r="A226" s="257" t="s">
        <v>196</v>
      </c>
      <c r="B226" s="348">
        <f>125170/825</f>
        <v>151.72121212121212</v>
      </c>
      <c r="C226" s="125"/>
    </row>
    <row r="227" spans="1:3" ht="12.75">
      <c r="A227" s="257" t="s">
        <v>197</v>
      </c>
      <c r="B227" s="348">
        <f>51411/351</f>
        <v>146.47008547008548</v>
      </c>
      <c r="C227" s="125"/>
    </row>
    <row r="228" spans="1:3" ht="12.75">
      <c r="A228" s="296" t="s">
        <v>198</v>
      </c>
      <c r="B228" s="349">
        <f>6943/20</f>
        <v>347.15</v>
      </c>
      <c r="C228" s="125"/>
    </row>
    <row r="229" spans="1:3" ht="12.75">
      <c r="A229" s="249"/>
      <c r="B229" s="206"/>
      <c r="C229" s="125"/>
    </row>
    <row r="230" spans="2:3" ht="12.75">
      <c r="B230" s="207"/>
      <c r="C230" s="125"/>
    </row>
    <row r="231" ht="12.75">
      <c r="C231" s="297"/>
    </row>
  </sheetData>
  <sheetProtection/>
  <printOptions/>
  <pageMargins left="0.2362204724409449" right="0.2755905511811024" top="0.2755905511811024" bottom="0.1968503937007874" header="0.2755905511811024" footer="0.11811023622047245"/>
  <pageSetup fitToHeight="0" fitToWidth="1" horizontalDpi="300" verticalDpi="300" orientation="portrait" paperSize="9" r:id="rId1"/>
  <rowBreaks count="3" manualBreakCount="3">
    <brk id="59" max="255" man="1"/>
    <brk id="112" max="2" man="1"/>
    <brk id="16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SheetLayoutView="100" zoomScalePageLayoutView="0" workbookViewId="0" topLeftCell="A49">
      <selection activeCell="B60" sqref="B60"/>
    </sheetView>
  </sheetViews>
  <sheetFormatPr defaultColWidth="9.140625" defaultRowHeight="12.75"/>
  <cols>
    <col min="1" max="1" width="50.7109375" style="0" customWidth="1"/>
    <col min="2" max="2" width="10.7109375" style="0" customWidth="1"/>
    <col min="4" max="4" width="10.7109375" style="0" bestFit="1" customWidth="1"/>
  </cols>
  <sheetData>
    <row r="1" spans="1:2" ht="12.75">
      <c r="A1" s="1" t="s">
        <v>232</v>
      </c>
      <c r="B1" s="8"/>
    </row>
    <row r="2" ht="12.75">
      <c r="A2" s="1" t="s">
        <v>488</v>
      </c>
    </row>
    <row r="3" spans="1:2" ht="12.75">
      <c r="A3" s="17" t="str">
        <f>Name1</f>
        <v>VAAL UNIVERSITY OF TECHNOLOGY……..  HEMIS INSTIT. CODE 110</v>
      </c>
      <c r="B3" s="18" t="str">
        <f>Name2</f>
        <v>R'000</v>
      </c>
    </row>
    <row r="4" spans="1:2" ht="12.75">
      <c r="A4" s="20" t="s">
        <v>440</v>
      </c>
      <c r="B4" s="9" t="s">
        <v>217</v>
      </c>
    </row>
    <row r="5" spans="1:2" ht="15.75">
      <c r="A5" s="23" t="s">
        <v>546</v>
      </c>
      <c r="B5" s="9"/>
    </row>
    <row r="6" spans="1:2" ht="12.75">
      <c r="A6" s="2"/>
      <c r="B6" s="9"/>
    </row>
    <row r="7" spans="1:2" ht="12.75">
      <c r="A7" s="4" t="s">
        <v>490</v>
      </c>
      <c r="B7" s="10" t="s">
        <v>137</v>
      </c>
    </row>
    <row r="8" spans="1:2" ht="12.75">
      <c r="A8" s="13" t="s">
        <v>443</v>
      </c>
      <c r="B8" s="10"/>
    </row>
    <row r="9" spans="1:2" ht="12.75">
      <c r="A9" s="13" t="s">
        <v>416</v>
      </c>
      <c r="B9" s="10"/>
    </row>
    <row r="10" spans="1:2" ht="12.75">
      <c r="A10" s="14" t="s">
        <v>417</v>
      </c>
      <c r="B10" s="6">
        <f>('FIN-DATA'!$D$6-'FIN-DATA'!$B$6)/'FIN-DATA'!$B$6</f>
        <v>0.10100468854655056</v>
      </c>
    </row>
    <row r="11" spans="1:2" ht="12.75">
      <c r="A11" s="19" t="s">
        <v>487</v>
      </c>
      <c r="B11" s="7">
        <f>('FIN-DATA'!$E$6-'FIN-DATA'!$D$6)/'FIN-DATA'!$D$6</f>
        <v>0.038630003650079084</v>
      </c>
    </row>
    <row r="12" spans="1:2" ht="12.75">
      <c r="A12" s="13" t="s">
        <v>443</v>
      </c>
      <c r="B12" s="7"/>
    </row>
    <row r="13" spans="1:2" ht="12.75">
      <c r="A13" s="16" t="s">
        <v>422</v>
      </c>
      <c r="B13" s="11"/>
    </row>
    <row r="14" spans="1:2" ht="12.75">
      <c r="A14" s="1" t="s">
        <v>155</v>
      </c>
      <c r="B14" s="12"/>
    </row>
    <row r="15" spans="1:2" ht="12.75">
      <c r="A15" t="s">
        <v>156</v>
      </c>
      <c r="B15" s="6">
        <f>('FIN-DATA'!$D$13-'FIN-DATA'!$B$13)/'FIN-DATA'!$B$13</f>
        <v>-0.02106732511105045</v>
      </c>
    </row>
    <row r="16" spans="1:2" ht="12.75">
      <c r="A16" t="s">
        <v>157</v>
      </c>
      <c r="B16" s="5">
        <f>('FIN-DATA'!$E$13-'FIN-DATA'!$D$13)/'FIN-DATA'!$D$13</f>
        <v>0.055966010994206304</v>
      </c>
    </row>
    <row r="17" spans="1:2" ht="12.75">
      <c r="A17" t="s">
        <v>151</v>
      </c>
      <c r="B17" s="5">
        <f>('FIN-DATA'!$D$14-'FIN-DATA'!$B$14)/'FIN-DATA'!$B$14</f>
        <v>-0.24204510849493646</v>
      </c>
    </row>
    <row r="18" spans="1:2" ht="12.75">
      <c r="A18" t="s">
        <v>152</v>
      </c>
      <c r="B18" s="5">
        <f>('FIN-DATA'!$E$14-'FIN-DATA'!$D$14)/'FIN-DATA'!$D$14</f>
        <v>0.02332267642315342</v>
      </c>
    </row>
    <row r="19" spans="1:2" ht="12.75">
      <c r="A19" t="s">
        <v>153</v>
      </c>
      <c r="B19" s="25">
        <f>(SUM('FIN-DATA'!D15:D21)-SUM('FIN-DATA'!B15:B21))/SUM('FIN-DATA'!B15:B21)</f>
        <v>-0.22451961635227036</v>
      </c>
    </row>
    <row r="20" spans="1:2" ht="12.75">
      <c r="A20" t="s">
        <v>154</v>
      </c>
      <c r="B20" s="7">
        <f>(('FIN-DATA'!$E$16+'FIN-DATA'!$E$18+'FIN-DATA'!$E$19+'FIN-DATA'!$E$20+'FIN-DATA'!$E$23)-('FIN-DATA'!$D$16+'FIN-DATA'!$D$17+'FIN-DATA'!$D$18+'FIN-DATA'!$D$19+'FIN-DATA'!$D$20+'FIN-DATA'!$D$23))/('FIN-DATA'!$D$16+'FIN-DATA'!$D$18+'FIN-DATA'!$D$19+'FIN-DATA'!$D$20+'FIN-DATA'!$D$23)</f>
        <v>0.006313131313131313</v>
      </c>
    </row>
    <row r="21" spans="1:2" ht="12.75">
      <c r="A21" s="1" t="s">
        <v>158</v>
      </c>
      <c r="B21" s="5"/>
    </row>
    <row r="22" spans="1:2" ht="12.75">
      <c r="A22" t="s">
        <v>159</v>
      </c>
      <c r="B22" s="6">
        <f>('FIN-DATA'!$D$48-'FIN-DATA'!$B$48)/'FIN-DATA'!$B$48</f>
        <v>0.05856870938805872</v>
      </c>
    </row>
    <row r="23" spans="1:2" ht="12.75">
      <c r="A23" t="s">
        <v>160</v>
      </c>
      <c r="B23" s="5">
        <f>('FIN-DATA'!$E$48-'FIN-DATA'!$D$48)/'FIN-DATA'!$D$48</f>
        <v>0.039706471038707884</v>
      </c>
    </row>
    <row r="24" spans="1:2" ht="12.75">
      <c r="A24" t="s">
        <v>161</v>
      </c>
      <c r="B24" s="5">
        <f>(('FIN-DATA'!$D$54+'FIN-DATA'!$D$59+'FIN-DATA'!$D$62)+'FIN-DATA'!$D$66-('FIN-DATA'!$B$54+'FIN-DATA'!$B$59+'FIN-DATA'!$B$62)+'FIN-DATA'!$B$66)/('FIN-DATA'!$B$54+'FIN-DATA'!$B$59+'FIN-DATA'!$B$62)+'FIN-DATA'!$D$66</f>
        <v>0.2608662620396242</v>
      </c>
    </row>
    <row r="25" spans="1:2" ht="12.75">
      <c r="A25" s="21" t="s">
        <v>152</v>
      </c>
      <c r="B25" s="7">
        <f>(('FIN-DATA'!$E$54+'FIN-DATA'!$E$59+'FIN-DATA'!$E$62+'FIN-DATA'!$E$66)-('FIN-DATA'!$D$54+'FIN-DATA'!$D$59+'FIN-DATA'!$D$62+'FIN-DATA'!$D$66))/('FIN-DATA'!$D$54+'FIN-DATA'!$D$59+'FIN-DATA'!$D$62+'FIN-DATA'!$D$66)</f>
        <v>-0.03708307111390833</v>
      </c>
    </row>
    <row r="26" spans="1:4" ht="12.75">
      <c r="A26" s="16" t="s">
        <v>423</v>
      </c>
      <c r="B26" s="5"/>
      <c r="D26" s="24"/>
    </row>
    <row r="27" spans="1:2" ht="12.75">
      <c r="A27" s="13" t="s">
        <v>489</v>
      </c>
      <c r="B27" s="5"/>
    </row>
    <row r="28" spans="1:2" ht="12.75">
      <c r="A28" s="1" t="s">
        <v>155</v>
      </c>
      <c r="B28" s="5"/>
    </row>
    <row r="29" spans="1:2" ht="12.75">
      <c r="A29" t="s">
        <v>156</v>
      </c>
      <c r="B29" s="6">
        <f>('FIN-DATA'!$C$13-'FIN-DATA'!$B$13)/'FIN-DATA'!$C$13</f>
        <v>-0.018968640991633975</v>
      </c>
    </row>
    <row r="30" spans="1:2" ht="12.75">
      <c r="A30" t="s">
        <v>426</v>
      </c>
      <c r="B30" s="5">
        <f>('FIN-DATA'!$C$14-'FIN-DATA'!$B$14)/'FIN-DATA'!$C$14</f>
        <v>-0.2667212002495048</v>
      </c>
    </row>
    <row r="31" spans="1:2" ht="12.75">
      <c r="A31" t="s">
        <v>153</v>
      </c>
      <c r="B31" s="5">
        <f>(SUM('FIN-DATA'!C16:C21)-SUM('FIN-DATA'!B16:B21))/SUM('FIN-DATA'!C16:C21)</f>
        <v>-0.443689281890638</v>
      </c>
    </row>
    <row r="32" spans="1:2" ht="12.75">
      <c r="A32" s="1" t="s">
        <v>158</v>
      </c>
      <c r="B32" s="5"/>
    </row>
    <row r="33" spans="1:2" ht="12.75">
      <c r="A33" t="s">
        <v>159</v>
      </c>
      <c r="B33" s="6">
        <f>('FIN-DATA'!$C$48-'FIN-DATA'!$B$48)/'FIN-DATA'!$C$48</f>
        <v>0.05410377450969714</v>
      </c>
    </row>
    <row r="34" spans="1:2" ht="12.75">
      <c r="A34" s="15" t="s">
        <v>161</v>
      </c>
      <c r="B34" s="5">
        <f>(('FIN-DATA'!$C$54+'FIN-DATA'!$C$59+'FIN-DATA'!$C$62+'FIN-DATA'!$C$66)-('FIN-DATA'!$B$54+'FIN-DATA'!$B$59+'FIN-DATA'!$B$62+'FIN-DATA'!$B$66))/('FIN-DATA'!$C$54+'FIN-DATA'!$C$59+'FIN-DATA'!$C$62+'FIN-DATA'!$C$66)</f>
        <v>0.4024243422933222</v>
      </c>
    </row>
    <row r="35" spans="1:2" ht="12.75">
      <c r="A35" s="4" t="s">
        <v>443</v>
      </c>
      <c r="B35" s="5"/>
    </row>
    <row r="36" spans="1:2" ht="12.75">
      <c r="A36" s="1" t="s">
        <v>162</v>
      </c>
      <c r="B36" s="5"/>
    </row>
    <row r="37" spans="1:2" ht="12.75">
      <c r="A37" s="1" t="s">
        <v>155</v>
      </c>
      <c r="B37" s="5"/>
    </row>
    <row r="38" spans="1:2" ht="12.75">
      <c r="A38" t="s">
        <v>156</v>
      </c>
      <c r="B38" s="5">
        <f>IF(ISERROR(('FIN-DATA'!$E$38-'FIN-DATA'!$D$38)/'FIN-DATA'!$D$38),0,(('FIN-DATA'!$E$38-'FIN-DATA'!$D$38)/'FIN-DATA'!$D$38))</f>
        <v>0</v>
      </c>
    </row>
    <row r="39" spans="1:2" ht="12.75">
      <c r="A39" t="s">
        <v>157</v>
      </c>
      <c r="B39" s="5">
        <f>IF(ISERROR(('FIN-DATA'!$E$38-'FIN-DATA'!$D$38)/'FIN-DATA'!$D$38),0,(('FIN-DATA'!$E$38-'FIN-DATA'!$D$38)/'FIN-DATA'!$D$38))</f>
        <v>0</v>
      </c>
    </row>
    <row r="40" spans="1:2" ht="12.75">
      <c r="A40" t="s">
        <v>151</v>
      </c>
      <c r="B40" s="5">
        <f>('FIN-DATA'!$D$39-'FIN-DATA'!$B$39)/'FIN-DATA'!$B$39</f>
        <v>-0.49897601672441494</v>
      </c>
    </row>
    <row r="41" spans="1:2" ht="12.75">
      <c r="A41" t="s">
        <v>152</v>
      </c>
      <c r="B41" s="5">
        <f>('FIN-DATA'!$E$39-'FIN-DATA'!$D$39)/'FIN-DATA'!$D$39</f>
        <v>0.17617469111476855</v>
      </c>
    </row>
    <row r="42" spans="1:2" ht="12.75">
      <c r="A42" t="s">
        <v>153</v>
      </c>
      <c r="B42" s="5">
        <f>IF(ISERROR((('FIN-DATA'!$D$40+'FIN-DATA'!$D$41+'FIN-DATA'!$D$42+'FIN-DATA'!$D$43)-('FIN-DATA'!$B$40+'FIN-DATA'!$B$41+'FIN-DATA'!$B$42+'FIN-DATA'!$B$43))/('FIN-DATA'!$B$40+'FIN-DATA'!$B$41+'FIN-DATA'!$B$42+'FIN-DATA'!$B$43)),0,((('FIN-DATA'!$D$40+'FIN-DATA'!$D$41+'FIN-DATA'!$D$42+'FIN-DATA'!$D$43)-('FIN-DATA'!$B$40+'FIN-DATA'!$B$41+'FIN-DATA'!$B$42+'FIN-DATA'!$B$43))/('FIN-DATA'!$B$40+'FIN-DATA'!$B$41+'FIN-DATA'!$B$42+'FIN-DATA'!$B$43)))</f>
        <v>0</v>
      </c>
    </row>
    <row r="43" spans="1:2" ht="12.75">
      <c r="A43" t="s">
        <v>154</v>
      </c>
      <c r="B43" s="5">
        <f>IF(ISERROR((('FIN-DATA'!$E$40+'FIN-DATA'!$E$41+'FIN-DATA'!$E$42+'FIN-DATA'!$E$43)-('FIN-DATA'!$D$40+'FIN-DATA'!$D$41+'FIN-DATA'!$D$42+'FIN-DATA'!$D$43))/('FIN-DATA'!$D$40+'FIN-DATA'!$D$41+'FIN-DATA'!$D$42+'FIN-DATA'!$D$43)),0,((('FIN-DATA'!$E$40+'FIN-DATA'!$E$41+'FIN-DATA'!$E$42+'FIN-DATA'!$E$43)-('FIN-DATA'!$D$40+'FIN-DATA'!$D$41+'FIN-DATA'!$D$42+'FIN-DATA'!$D$43))/('FIN-DATA'!$D$40+'FIN-DATA'!$D$41+'FIN-DATA'!$D$42+'FIN-DATA'!$D$43)))</f>
        <v>0</v>
      </c>
    </row>
    <row r="44" spans="1:2" ht="12.75">
      <c r="A44" s="1" t="s">
        <v>158</v>
      </c>
      <c r="B44" s="5"/>
    </row>
    <row r="45" spans="1:2" ht="12.75">
      <c r="A45" t="s">
        <v>159</v>
      </c>
      <c r="B45" s="6">
        <f>('FIN-DATA'!$D$83-'FIN-DATA'!$B$83)/'FIN-DATA'!$B$83</f>
        <v>-0.009436196203721077</v>
      </c>
    </row>
    <row r="46" spans="1:2" ht="12.75">
      <c r="A46" t="s">
        <v>160</v>
      </c>
      <c r="B46" s="5">
        <f>('FIN-DATA'!$E$83-'FIN-DATA'!$D$83)/'FIN-DATA'!$D$83</f>
        <v>0.04999999999999994</v>
      </c>
    </row>
    <row r="47" spans="1:2" ht="12.75">
      <c r="A47" t="s">
        <v>161</v>
      </c>
      <c r="B47" s="5">
        <f>('FIN-DATA'!$D$84+'FIN-DATA'!$D$85+'FIN-DATA'!$D$86+'FIN-DATA'!$D$87+'FIN-DATA'!$D$88-'FIN-DATA'!$B$84+'FIN-DATA'!$B$85+'FIN-DATA'!$B$86+'FIN-DATA'!$B$87+'FIN-DATA'!$B$88)/('FIN-DATA'!$B$84+'FIN-DATA'!$B$85+'FIN-DATA'!$B$86+'FIN-DATA'!$B$87+'FIN-DATA'!$B$88)</f>
        <v>0.6726652767913736</v>
      </c>
    </row>
    <row r="48" spans="1:2" ht="12.75">
      <c r="A48" t="s">
        <v>152</v>
      </c>
      <c r="B48" s="5">
        <f>('FIN-DATA'!$E$84+'FIN-DATA'!$E$85+'FIN-DATA'!$E$86+'FIN-DATA'!$E$87+'FIN-DATA'!$E$88-'FIN-DATA'!$D$84+'FIN-DATA'!$D$85+'FIN-DATA'!$D$86+'FIN-DATA'!$D$87+'FIN-DATA'!$D$88)/('FIN-DATA'!$D$84+'FIN-DATA'!$D$85+'FIN-DATA'!$D$86+'FIN-DATA'!$D$87+'FIN-DATA'!$D$88)</f>
        <v>0.04999999999999997</v>
      </c>
    </row>
    <row r="49" spans="1:2" ht="12.75">
      <c r="A49" s="3" t="s">
        <v>423</v>
      </c>
      <c r="B49" s="5"/>
    </row>
    <row r="50" spans="1:2" ht="12.75">
      <c r="A50" s="13" t="s">
        <v>489</v>
      </c>
      <c r="B50" s="5"/>
    </row>
    <row r="51" spans="1:2" ht="12.75">
      <c r="A51" s="3" t="s">
        <v>155</v>
      </c>
      <c r="B51" s="26"/>
    </row>
    <row r="52" spans="1:2" ht="12.75">
      <c r="A52" t="s">
        <v>156</v>
      </c>
      <c r="B52" s="5">
        <f>IF(ISERROR(('FIN-DATA'!$E$38-'FIN-DATA'!$C$38)/'FIN-DATA'!$C$38),0,(('FIN-DATA'!$E$38-'FIN-DATA'!$C$38)/'FIN-DATA'!$C$38))</f>
        <v>0</v>
      </c>
    </row>
    <row r="53" spans="1:2" ht="12.75">
      <c r="A53" t="s">
        <v>151</v>
      </c>
      <c r="B53" s="5">
        <f>('FIN-DATA'!$C$39-'FIN-DATA'!$B$39)/'FIN-DATA'!$C$39</f>
        <v>0.040218631214027474</v>
      </c>
    </row>
    <row r="54" spans="1:2" ht="12.75">
      <c r="A54" t="s">
        <v>153</v>
      </c>
      <c r="B54" s="7">
        <f>IF(ISERROR((('FIN-DATA'!$C$40+'FIN-DATA'!$C$41+'FIN-DATA'!$C$42+'FIN-DATA'!$C$43)-('FIN-DATA'!$B$40+'FIN-DATA'!$B$41+'FIN-DATA'!$B$42+'FIN-DATA'!$B$43))/('FIN-DATA'!$C$40+'FIN-DATA'!$C$41+'FIN-DATA'!$C$42+'FIN-DATA'!$C$43)),0,(('FIN-DATA'!$C$40+'FIN-DATA'!$C$41+'FIN-DATA'!$C$42+'FIN-DATA'!$C$43)-('FIN-DATA'!$B$40+'FIN-DATA'!$B$41+'FIN-DATA'!$B$42+'FIN-DATA'!$B$43))/('FIN-DATA'!$C$40+'FIN-DATA'!$C$41+'FIN-DATA'!$C$42+'FIN-DATA'!$C$43))</f>
        <v>0</v>
      </c>
    </row>
    <row r="55" spans="1:2" ht="12.75">
      <c r="A55" s="1" t="s">
        <v>158</v>
      </c>
      <c r="B55" s="5"/>
    </row>
    <row r="56" spans="1:2" ht="12.75">
      <c r="A56" t="s">
        <v>159</v>
      </c>
      <c r="B56" s="5">
        <f>('FIN-DATA'!$C$83-'FIN-DATA'!$B$83)/'FIN-DATA'!$C$83</f>
        <v>-0.06000239053348739</v>
      </c>
    </row>
    <row r="57" spans="1:2" ht="12.75">
      <c r="A57" s="15" t="s">
        <v>161</v>
      </c>
      <c r="B57" s="7">
        <f>(('FIN-DATA'!$C$84+'FIN-DATA'!$C$85+'FIN-DATA'!$C$86+'FIN-DATA'!$C$87+'FIN-DATA'!$C$88)-('FIN-DATA'!$B$84+'FIN-DATA'!$B$85+'FIN-DATA'!$B$86+'FIN-DATA'!$B$87+'FIN-DATA'!$B$88))/('FIN-DATA'!$C$84+'FIN-DATA'!$C$85+'FIN-DATA'!$C$86+'FIN-DATA'!$C$87+'FIN-DATA'!$C$88)</f>
        <v>-4.476318926039772</v>
      </c>
    </row>
    <row r="58" spans="1:2" ht="12.75">
      <c r="A58" s="4" t="s">
        <v>443</v>
      </c>
      <c r="B58" s="5"/>
    </row>
    <row r="59" spans="1:2" ht="12.75">
      <c r="A59" s="3" t="s">
        <v>424</v>
      </c>
      <c r="B59" s="5"/>
    </row>
    <row r="60" spans="1:2" ht="12.75">
      <c r="A60" t="s">
        <v>163</v>
      </c>
      <c r="B60" s="5">
        <f>('FIN-DATA'!$D$123-'FIN-DATA'!$B$123)/'FIN-DATA'!$B$123</f>
        <v>-1</v>
      </c>
    </row>
    <row r="61" spans="1:2" ht="12.75">
      <c r="A61" t="s">
        <v>164</v>
      </c>
      <c r="B61" s="5">
        <f>IF(ISERROR(('FIN-DATA'!$E$123-'FIN-DATA'!$D$123)/'FIN-DATA'!$D$123),0,(('FIN-DATA'!$E$123-'FIN-DATA'!$D$123)/'FIN-DATA'!$D$123))</f>
        <v>0</v>
      </c>
    </row>
    <row r="62" spans="1:2" ht="12.75">
      <c r="A62" t="s">
        <v>280</v>
      </c>
      <c r="B62" s="5">
        <f>('FIN-DATA'!$D$129-'FIN-DATA'!$B$129)/'FIN-DATA'!$B$129</f>
        <v>-1</v>
      </c>
    </row>
    <row r="63" spans="1:2" ht="12.75">
      <c r="A63" t="s">
        <v>167</v>
      </c>
      <c r="B63" s="5">
        <f>IF(ISERROR(('FIN-DATA'!$E$129-'FIN-DATA'!$D$129)/'FIN-DATA'!$D$129),0,(('FIN-DATA'!$E$129-'FIN-DATA'!$D$129)/'FIN-DATA'!$D$129))</f>
        <v>0</v>
      </c>
    </row>
    <row r="64" spans="1:2" ht="12.75">
      <c r="A64" t="s">
        <v>165</v>
      </c>
      <c r="B64" s="5">
        <f>('FIN-DATA'!$D$127-'FIN-DATA'!$B$127)/'FIN-DATA'!$B$127</f>
        <v>-1</v>
      </c>
    </row>
    <row r="65" spans="1:2" ht="12.75">
      <c r="A65" t="s">
        <v>166</v>
      </c>
      <c r="B65" s="5">
        <f>IF(ISERROR(('FIN-DATA'!$E$127-'FIN-DATA'!$D$127)/'FIN-DATA'!$D$1280),0,(('FIN-DATA'!$E$127-'FIN-DATA'!$D$127)/'FIN-DATA'!$D$1280))</f>
        <v>0</v>
      </c>
    </row>
    <row r="66" spans="1:2" ht="12.75">
      <c r="A66" t="s">
        <v>168</v>
      </c>
      <c r="B66" s="5">
        <f>('FIN-DATA'!$D$126-'FIN-DATA'!$B$126)/'FIN-DATA'!$B$126</f>
        <v>-1</v>
      </c>
    </row>
    <row r="67" spans="1:2" ht="12.75">
      <c r="A67" s="15" t="s">
        <v>169</v>
      </c>
      <c r="B67" s="7">
        <f>IF(ISERROR(('FIN-DATA'!$E$126-'FIN-DATA'!$D$126)/'FIN-DATA'!$D$126),0,(('FIN-DATA'!$E$126-'FIN-DATA'!$D$126)/'FIN-DATA'!$D$126))</f>
        <v>0</v>
      </c>
    </row>
    <row r="68" spans="1:2" ht="12.75">
      <c r="A68" s="4" t="s">
        <v>443</v>
      </c>
      <c r="B68" s="5"/>
    </row>
    <row r="69" spans="1:2" ht="12.75">
      <c r="A69" s="3" t="s">
        <v>425</v>
      </c>
      <c r="B69" s="5"/>
    </row>
    <row r="70" spans="1:2" ht="12.75">
      <c r="A70" t="s">
        <v>170</v>
      </c>
      <c r="B70" s="5">
        <f>('FIN-DATA'!$D$158-'FIN-DATA'!$B$158)/'FIN-DATA'!$B$158</f>
        <v>-1</v>
      </c>
    </row>
    <row r="71" spans="1:2" ht="12.75">
      <c r="A71" s="15" t="s">
        <v>171</v>
      </c>
      <c r="B71" s="7">
        <f>IF(ISERROR(('FIN-DATA'!$E$158-'FIN-DATA'!$D$158)/'FIN-DATA'!$D$158),0,(('FIN-DATA'!$E$158-'FIN-DATA'!$D$158)/'FIN-DATA'!$D$158))</f>
        <v>0</v>
      </c>
    </row>
  </sheetData>
  <sheetProtection/>
  <printOptions/>
  <pageMargins left="0.2362204724409449" right="0.2755905511811024" top="0.2755905511811024" bottom="0.1968503937007874" header="0.11811023622047245" footer="0.11811023622047245"/>
  <pageSetup fitToHeight="0" fitToWidth="1" horizontalDpi="600" verticalDpi="600" orientation="portrait" paperSize="9" r:id="rId1"/>
  <rowBreaks count="1" manualBreakCount="1">
    <brk id="4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SheetLayoutView="100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" sqref="C16"/>
    </sheetView>
  </sheetViews>
  <sheetFormatPr defaultColWidth="8.7109375" defaultRowHeight="12.75"/>
  <cols>
    <col min="1" max="1" width="68.7109375" style="166" customWidth="1"/>
    <col min="2" max="3" width="12.7109375" style="166" customWidth="1"/>
    <col min="4" max="4" width="12.421875" style="166" customWidth="1"/>
    <col min="5" max="6" width="12.7109375" style="166" customWidth="1"/>
    <col min="7" max="7" width="16.421875" style="166" customWidth="1"/>
    <col min="8" max="10" width="12.7109375" style="166" customWidth="1"/>
    <col min="11" max="16384" width="8.7109375" style="166" customWidth="1"/>
  </cols>
  <sheetData>
    <row r="1" spans="1:9" ht="12.75">
      <c r="A1" s="279" t="s">
        <v>505</v>
      </c>
      <c r="B1" s="249"/>
      <c r="C1" s="249"/>
      <c r="D1" s="249"/>
      <c r="E1" s="249"/>
      <c r="F1" s="249"/>
      <c r="G1" s="207"/>
      <c r="I1" s="298"/>
    </row>
    <row r="2" spans="1:7" ht="12.75">
      <c r="A2" s="279" t="s">
        <v>58</v>
      </c>
      <c r="B2" s="249"/>
      <c r="C2" s="249"/>
      <c r="D2" s="249"/>
      <c r="E2" s="249"/>
      <c r="F2" s="249"/>
      <c r="G2" s="207"/>
    </row>
    <row r="3" spans="1:7" ht="12.75">
      <c r="A3" s="243" t="s">
        <v>510</v>
      </c>
      <c r="B3" s="244" t="str">
        <f>Name2</f>
        <v>R'000</v>
      </c>
      <c r="C3" s="249"/>
      <c r="D3" s="249"/>
      <c r="E3" s="249"/>
      <c r="F3" s="249"/>
      <c r="G3" s="207"/>
    </row>
    <row r="4" spans="1:7" ht="12.75">
      <c r="A4" s="299">
        <v>2021</v>
      </c>
      <c r="B4" s="249"/>
      <c r="C4" s="249"/>
      <c r="D4" s="249"/>
      <c r="E4" s="249"/>
      <c r="F4" s="249"/>
      <c r="G4" s="207"/>
    </row>
    <row r="5" spans="1:7" ht="12.75">
      <c r="A5" s="300" t="s">
        <v>547</v>
      </c>
      <c r="B5" s="249"/>
      <c r="C5" s="249"/>
      <c r="D5" s="249"/>
      <c r="E5" s="301"/>
      <c r="F5" s="301"/>
      <c r="G5" s="207"/>
    </row>
    <row r="6" ht="12.75">
      <c r="A6" s="302" t="s">
        <v>283</v>
      </c>
    </row>
    <row r="7" spans="1:10" ht="12.75">
      <c r="A7" s="303" t="s">
        <v>59</v>
      </c>
      <c r="B7" s="304" t="s">
        <v>60</v>
      </c>
      <c r="C7" s="304" t="s">
        <v>61</v>
      </c>
      <c r="D7" s="304" t="s">
        <v>62</v>
      </c>
      <c r="E7" s="304" t="s">
        <v>63</v>
      </c>
      <c r="F7" s="304" t="s">
        <v>64</v>
      </c>
      <c r="G7" s="305"/>
      <c r="H7" s="304" t="s">
        <v>65</v>
      </c>
      <c r="I7" s="306"/>
      <c r="J7" s="207"/>
    </row>
    <row r="8" spans="1:10" ht="12.75">
      <c r="A8" s="307"/>
      <c r="B8" s="308" t="s">
        <v>65</v>
      </c>
      <c r="C8" s="308" t="s">
        <v>66</v>
      </c>
      <c r="D8" s="308" t="s">
        <v>67</v>
      </c>
      <c r="E8" s="308" t="s">
        <v>68</v>
      </c>
      <c r="F8" s="308" t="s">
        <v>69</v>
      </c>
      <c r="G8" s="308"/>
      <c r="H8" s="308" t="s">
        <v>70</v>
      </c>
      <c r="I8" s="309"/>
      <c r="J8" s="207"/>
    </row>
    <row r="9" spans="1:10" ht="12.75">
      <c r="A9" s="307"/>
      <c r="B9" s="308"/>
      <c r="C9" s="308" t="s">
        <v>67</v>
      </c>
      <c r="D9" s="308" t="s">
        <v>71</v>
      </c>
      <c r="E9" s="308" t="s">
        <v>72</v>
      </c>
      <c r="F9" s="308" t="s">
        <v>73</v>
      </c>
      <c r="G9" s="308" t="s">
        <v>74</v>
      </c>
      <c r="H9" s="308" t="s">
        <v>75</v>
      </c>
      <c r="I9" s="309" t="s">
        <v>81</v>
      </c>
      <c r="J9" s="207"/>
    </row>
    <row r="10" spans="1:10" ht="12.75">
      <c r="A10" s="307"/>
      <c r="B10" s="308"/>
      <c r="C10" s="308"/>
      <c r="D10" s="308"/>
      <c r="E10" s="308" t="s">
        <v>76</v>
      </c>
      <c r="F10" s="308" t="s">
        <v>77</v>
      </c>
      <c r="G10" s="308"/>
      <c r="H10" s="308" t="s">
        <v>78</v>
      </c>
      <c r="I10" s="309"/>
      <c r="J10" s="207"/>
    </row>
    <row r="11" spans="1:10" ht="12.75">
      <c r="A11" s="254"/>
      <c r="B11" s="226"/>
      <c r="C11" s="226"/>
      <c r="D11" s="227"/>
      <c r="E11" s="227"/>
      <c r="F11" s="227" t="s">
        <v>79</v>
      </c>
      <c r="G11" s="227"/>
      <c r="H11" s="227" t="s">
        <v>80</v>
      </c>
      <c r="I11" s="228"/>
      <c r="J11" s="310"/>
    </row>
    <row r="12" spans="1:10" ht="12.75">
      <c r="A12" s="311" t="s">
        <v>221</v>
      </c>
      <c r="B12" s="229"/>
      <c r="C12" s="229"/>
      <c r="D12" s="229"/>
      <c r="E12" s="229"/>
      <c r="F12" s="229"/>
      <c r="G12" s="229"/>
      <c r="H12" s="229"/>
      <c r="I12" s="230"/>
      <c r="J12" s="207"/>
    </row>
    <row r="13" spans="1:10" ht="12.75">
      <c r="A13" s="312" t="s">
        <v>539</v>
      </c>
      <c r="B13" s="164">
        <v>494412</v>
      </c>
      <c r="C13" s="164">
        <v>47186</v>
      </c>
      <c r="D13" s="165"/>
      <c r="E13" s="164">
        <v>25435</v>
      </c>
      <c r="F13" s="164">
        <v>28024</v>
      </c>
      <c r="G13" s="165"/>
      <c r="H13" s="165"/>
      <c r="I13" s="171">
        <f>SUM(B13:H13)</f>
        <v>595057</v>
      </c>
      <c r="J13" s="207"/>
    </row>
    <row r="14" spans="1:10" ht="12.75">
      <c r="A14" s="311" t="s">
        <v>55</v>
      </c>
      <c r="B14" s="164">
        <v>26605</v>
      </c>
      <c r="C14" s="164">
        <v>37894</v>
      </c>
      <c r="D14" s="165"/>
      <c r="E14" s="164">
        <v>8032</v>
      </c>
      <c r="F14" s="164">
        <v>8850</v>
      </c>
      <c r="G14" s="165" t="s">
        <v>511</v>
      </c>
      <c r="H14" s="165"/>
      <c r="I14" s="171">
        <f aca="true" t="shared" si="0" ref="I14:I19">SUM(B14:H14)</f>
        <v>81381</v>
      </c>
      <c r="J14" s="207"/>
    </row>
    <row r="15" spans="1:10" ht="12.75">
      <c r="A15" s="311" t="s">
        <v>222</v>
      </c>
      <c r="B15" s="164">
        <v>377360</v>
      </c>
      <c r="C15" s="164">
        <v>308706</v>
      </c>
      <c r="D15" s="164">
        <v>58423</v>
      </c>
      <c r="E15" s="164">
        <v>6693</v>
      </c>
      <c r="F15" s="164">
        <v>7375</v>
      </c>
      <c r="G15" s="164">
        <v>28174</v>
      </c>
      <c r="H15" s="164">
        <v>119</v>
      </c>
      <c r="I15" s="171">
        <f t="shared" si="0"/>
        <v>786850</v>
      </c>
      <c r="J15" s="207"/>
    </row>
    <row r="16" spans="1:10" ht="12.75">
      <c r="A16" s="311" t="s">
        <v>438</v>
      </c>
      <c r="B16" s="164">
        <v>27721</v>
      </c>
      <c r="C16" s="164">
        <v>9024</v>
      </c>
      <c r="D16" s="165"/>
      <c r="E16" s="164">
        <v>26774</v>
      </c>
      <c r="F16" s="164">
        <v>29499</v>
      </c>
      <c r="G16" s="165"/>
      <c r="H16" s="165"/>
      <c r="I16" s="171">
        <f>SUM(B16:H16)</f>
        <v>93018</v>
      </c>
      <c r="J16" s="207"/>
    </row>
    <row r="17" spans="1:10" ht="12.75">
      <c r="A17" s="311" t="s">
        <v>56</v>
      </c>
      <c r="B17" s="164"/>
      <c r="C17" s="164"/>
      <c r="D17" s="164"/>
      <c r="E17" s="164"/>
      <c r="F17" s="164"/>
      <c r="G17" s="231"/>
      <c r="H17" s="231"/>
      <c r="I17" s="171">
        <f t="shared" si="0"/>
        <v>0</v>
      </c>
      <c r="J17" s="207"/>
    </row>
    <row r="18" spans="1:10" ht="12.75">
      <c r="A18" s="311" t="s">
        <v>57</v>
      </c>
      <c r="B18" s="164"/>
      <c r="C18" s="164"/>
      <c r="D18" s="164"/>
      <c r="E18" s="164"/>
      <c r="F18" s="164"/>
      <c r="G18" s="164"/>
      <c r="H18" s="164"/>
      <c r="I18" s="171">
        <f t="shared" si="0"/>
        <v>0</v>
      </c>
      <c r="J18" s="207"/>
    </row>
    <row r="19" spans="1:10" ht="13.5" thickBot="1">
      <c r="A19" s="313" t="s">
        <v>81</v>
      </c>
      <c r="B19" s="232">
        <f>SUM(B12:B18)</f>
        <v>926098</v>
      </c>
      <c r="C19" s="232">
        <f aca="true" t="shared" si="1" ref="C19:H19">SUM(C12:C18)</f>
        <v>402810</v>
      </c>
      <c r="D19" s="232">
        <f t="shared" si="1"/>
        <v>58423</v>
      </c>
      <c r="E19" s="232">
        <f t="shared" si="1"/>
        <v>66934</v>
      </c>
      <c r="F19" s="232">
        <f t="shared" si="1"/>
        <v>73748</v>
      </c>
      <c r="G19" s="232">
        <f t="shared" si="1"/>
        <v>28174</v>
      </c>
      <c r="H19" s="232">
        <f t="shared" si="1"/>
        <v>119</v>
      </c>
      <c r="I19" s="314">
        <f t="shared" si="0"/>
        <v>1556306</v>
      </c>
      <c r="J19" s="315"/>
    </row>
    <row r="20" spans="1:10" ht="13.5" thickTop="1">
      <c r="A20" s="316" t="s">
        <v>282</v>
      </c>
      <c r="B20" s="317"/>
      <c r="C20" s="317"/>
      <c r="D20" s="317"/>
      <c r="E20" s="317"/>
      <c r="F20" s="317"/>
      <c r="G20" s="317"/>
      <c r="H20" s="317"/>
      <c r="I20" s="317"/>
      <c r="J20" s="207"/>
    </row>
    <row r="21" spans="1:10" ht="12.75">
      <c r="A21" s="318"/>
      <c r="B21" s="207"/>
      <c r="C21" s="207"/>
      <c r="D21" s="207"/>
      <c r="E21" s="315"/>
      <c r="F21" s="207"/>
      <c r="G21" s="207"/>
      <c r="H21" s="207"/>
      <c r="I21" s="207"/>
      <c r="J21" s="207"/>
    </row>
    <row r="22" spans="1:10" ht="12.75">
      <c r="A22" s="300" t="s">
        <v>548</v>
      </c>
      <c r="B22" s="279"/>
      <c r="C22" s="319"/>
      <c r="D22" s="319"/>
      <c r="E22" s="301"/>
      <c r="F22" s="207"/>
      <c r="G22" s="207"/>
      <c r="H22" s="207"/>
      <c r="I22" s="207"/>
      <c r="J22" s="207"/>
    </row>
    <row r="23" spans="1:10" ht="12.75">
      <c r="A23" s="302" t="s">
        <v>283</v>
      </c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12.75">
      <c r="A24" s="320" t="s">
        <v>343</v>
      </c>
      <c r="B24" s="304" t="s">
        <v>82</v>
      </c>
      <c r="C24" s="304" t="s">
        <v>83</v>
      </c>
      <c r="D24" s="304" t="s">
        <v>84</v>
      </c>
      <c r="E24" s="304" t="s">
        <v>85</v>
      </c>
      <c r="F24" s="304" t="s">
        <v>86</v>
      </c>
      <c r="G24" s="304" t="s">
        <v>87</v>
      </c>
      <c r="H24" s="304" t="s">
        <v>88</v>
      </c>
      <c r="I24" s="304" t="s">
        <v>89</v>
      </c>
      <c r="J24" s="304" t="s">
        <v>81</v>
      </c>
    </row>
    <row r="25" spans="1:10" ht="12.75">
      <c r="A25" s="321"/>
      <c r="B25" s="308" t="s">
        <v>90</v>
      </c>
      <c r="C25" s="308" t="s">
        <v>91</v>
      </c>
      <c r="D25" s="308" t="s">
        <v>92</v>
      </c>
      <c r="E25" s="308" t="s">
        <v>93</v>
      </c>
      <c r="F25" s="308" t="s">
        <v>94</v>
      </c>
      <c r="G25" s="308" t="s">
        <v>532</v>
      </c>
      <c r="H25" s="308" t="s">
        <v>90</v>
      </c>
      <c r="I25" s="308" t="s">
        <v>95</v>
      </c>
      <c r="J25" s="308" t="s">
        <v>96</v>
      </c>
    </row>
    <row r="26" spans="1:10" ht="12.75">
      <c r="A26" s="322" t="s">
        <v>281</v>
      </c>
      <c r="B26" s="308" t="s">
        <v>97</v>
      </c>
      <c r="C26" s="308" t="s">
        <v>97</v>
      </c>
      <c r="D26" s="308" t="s">
        <v>98</v>
      </c>
      <c r="E26" s="308" t="s">
        <v>99</v>
      </c>
      <c r="F26" s="308" t="s">
        <v>100</v>
      </c>
      <c r="G26" s="308" t="s">
        <v>101</v>
      </c>
      <c r="H26" s="308" t="s">
        <v>102</v>
      </c>
      <c r="I26" s="308" t="s">
        <v>91</v>
      </c>
      <c r="J26" s="308" t="s">
        <v>103</v>
      </c>
    </row>
    <row r="27" spans="1:10" ht="12.75">
      <c r="A27" s="323"/>
      <c r="B27" s="227" t="s">
        <v>104</v>
      </c>
      <c r="C27" s="227" t="s">
        <v>104</v>
      </c>
      <c r="D27" s="227" t="s">
        <v>104</v>
      </c>
      <c r="E27" s="227" t="s">
        <v>104</v>
      </c>
      <c r="F27" s="227" t="s">
        <v>105</v>
      </c>
      <c r="G27" s="227" t="s">
        <v>106</v>
      </c>
      <c r="H27" s="227" t="s">
        <v>104</v>
      </c>
      <c r="I27" s="227" t="s">
        <v>107</v>
      </c>
      <c r="J27" s="227"/>
    </row>
    <row r="28" spans="1:10" ht="12.75">
      <c r="A28" s="324" t="s">
        <v>108</v>
      </c>
      <c r="B28" s="325"/>
      <c r="C28" s="325"/>
      <c r="D28" s="325"/>
      <c r="E28" s="326"/>
      <c r="F28" s="326"/>
      <c r="G28" s="326"/>
      <c r="H28" s="326"/>
      <c r="I28" s="326"/>
      <c r="J28" s="326"/>
    </row>
    <row r="29" spans="1:10" ht="12.75">
      <c r="A29" s="327" t="s">
        <v>344</v>
      </c>
      <c r="B29" s="328"/>
      <c r="C29" s="328"/>
      <c r="D29" s="328"/>
      <c r="E29" s="329"/>
      <c r="F29" s="329"/>
      <c r="G29" s="329"/>
      <c r="H29" s="329"/>
      <c r="I29" s="329"/>
      <c r="J29" s="329"/>
    </row>
    <row r="30" spans="1:10" ht="12.75">
      <c r="A30" s="327" t="s">
        <v>345</v>
      </c>
      <c r="B30" s="164"/>
      <c r="C30" s="164"/>
      <c r="D30" s="164"/>
      <c r="E30" s="164"/>
      <c r="F30" s="164"/>
      <c r="G30" s="164"/>
      <c r="H30" s="164" t="s">
        <v>511</v>
      </c>
      <c r="I30" s="164" t="s">
        <v>511</v>
      </c>
      <c r="J30" s="164"/>
    </row>
    <row r="31" spans="1:10" ht="12.75">
      <c r="A31" s="327" t="s">
        <v>109</v>
      </c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2.75">
      <c r="A32" s="327" t="s">
        <v>110</v>
      </c>
      <c r="B32" s="164">
        <v>2790</v>
      </c>
      <c r="C32" s="164">
        <v>2790</v>
      </c>
      <c r="D32" s="164">
        <v>0</v>
      </c>
      <c r="E32" s="164">
        <v>0</v>
      </c>
      <c r="F32" s="164">
        <v>0</v>
      </c>
      <c r="G32" s="164">
        <v>29</v>
      </c>
      <c r="H32" s="164">
        <f>B32+D32-E32+G32</f>
        <v>2819</v>
      </c>
      <c r="I32" s="164">
        <v>2819</v>
      </c>
      <c r="J32" s="164">
        <v>142</v>
      </c>
    </row>
    <row r="33" spans="1:10" ht="12.75">
      <c r="A33" s="327" t="s">
        <v>111</v>
      </c>
      <c r="B33" s="164">
        <v>805</v>
      </c>
      <c r="C33" s="164">
        <v>805</v>
      </c>
      <c r="D33" s="164"/>
      <c r="E33" s="164"/>
      <c r="F33" s="164"/>
      <c r="G33" s="164">
        <v>151</v>
      </c>
      <c r="H33" s="164">
        <f>B33+D33-E33+G33</f>
        <v>956</v>
      </c>
      <c r="I33" s="164">
        <v>956</v>
      </c>
      <c r="J33" s="164">
        <v>0</v>
      </c>
    </row>
    <row r="34" spans="1:10" ht="12.75">
      <c r="A34" s="327"/>
      <c r="B34" s="165"/>
      <c r="C34" s="165"/>
      <c r="D34" s="165"/>
      <c r="E34" s="165"/>
      <c r="F34" s="165"/>
      <c r="G34" s="165"/>
      <c r="H34" s="164">
        <f aca="true" t="shared" si="2" ref="H34:H49">B34+D34-E34+G34</f>
        <v>0</v>
      </c>
      <c r="I34" s="165"/>
      <c r="J34" s="164"/>
    </row>
    <row r="35" spans="1:10" ht="12.75">
      <c r="A35" s="327" t="s">
        <v>112</v>
      </c>
      <c r="B35" s="164">
        <v>456474</v>
      </c>
      <c r="C35" s="164">
        <v>456474</v>
      </c>
      <c r="D35" s="164">
        <v>0</v>
      </c>
      <c r="E35" s="164"/>
      <c r="F35" s="164"/>
      <c r="G35" s="164">
        <v>72083</v>
      </c>
      <c r="H35" s="164">
        <f>B35+D35-E35+G35</f>
        <v>528557</v>
      </c>
      <c r="I35" s="164">
        <v>528557</v>
      </c>
      <c r="J35" s="164">
        <v>66025</v>
      </c>
    </row>
    <row r="36" spans="1:10" ht="12.75">
      <c r="A36" s="327" t="s">
        <v>503</v>
      </c>
      <c r="B36" s="171">
        <v>0</v>
      </c>
      <c r="C36" s="171">
        <v>0</v>
      </c>
      <c r="D36" s="171">
        <v>0</v>
      </c>
      <c r="E36" s="171">
        <v>0</v>
      </c>
      <c r="F36" s="171">
        <v>0</v>
      </c>
      <c r="G36" s="171"/>
      <c r="H36" s="164">
        <f>B36+D36-E36+G36</f>
        <v>0</v>
      </c>
      <c r="I36" s="171"/>
      <c r="J36" s="171"/>
    </row>
    <row r="37" spans="1:10" ht="12.75">
      <c r="A37" s="327" t="s">
        <v>509</v>
      </c>
      <c r="B37" s="164">
        <v>0</v>
      </c>
      <c r="C37" s="164" t="s">
        <v>511</v>
      </c>
      <c r="D37" s="164"/>
      <c r="E37" s="164"/>
      <c r="F37" s="164"/>
      <c r="G37" s="164">
        <v>0</v>
      </c>
      <c r="H37" s="164">
        <f t="shared" si="2"/>
        <v>0</v>
      </c>
      <c r="I37" s="164" t="s">
        <v>511</v>
      </c>
      <c r="J37" s="164"/>
    </row>
    <row r="38" spans="1:10" ht="12.75">
      <c r="A38" s="324" t="s">
        <v>113</v>
      </c>
      <c r="B38" s="171"/>
      <c r="C38" s="171"/>
      <c r="D38" s="171"/>
      <c r="E38" s="171"/>
      <c r="F38" s="171"/>
      <c r="G38" s="171"/>
      <c r="H38" s="164">
        <f t="shared" si="2"/>
        <v>0</v>
      </c>
      <c r="I38" s="171"/>
      <c r="J38" s="171"/>
    </row>
    <row r="39" spans="1:10" ht="12.75">
      <c r="A39" s="327" t="s">
        <v>110</v>
      </c>
      <c r="B39" s="164"/>
      <c r="C39" s="164"/>
      <c r="D39" s="164"/>
      <c r="E39" s="164"/>
      <c r="F39" s="164"/>
      <c r="G39" s="164"/>
      <c r="H39" s="164">
        <f t="shared" si="2"/>
        <v>0</v>
      </c>
      <c r="I39" s="164"/>
      <c r="J39" s="164"/>
    </row>
    <row r="40" spans="1:10" ht="12.75">
      <c r="A40" s="327" t="s">
        <v>111</v>
      </c>
      <c r="B40" s="164">
        <v>0</v>
      </c>
      <c r="C40" s="164">
        <v>0</v>
      </c>
      <c r="D40" s="164"/>
      <c r="E40" s="164">
        <v>0</v>
      </c>
      <c r="F40" s="164">
        <v>0</v>
      </c>
      <c r="G40" s="164">
        <v>0</v>
      </c>
      <c r="H40" s="164">
        <f>B40+D40-E40-F40+G40</f>
        <v>0</v>
      </c>
      <c r="I40" s="164">
        <v>0</v>
      </c>
      <c r="J40" s="164">
        <v>0</v>
      </c>
    </row>
    <row r="41" spans="1:10" ht="12.75">
      <c r="A41" s="327" t="s">
        <v>114</v>
      </c>
      <c r="B41" s="164">
        <v>0</v>
      </c>
      <c r="C41" s="164"/>
      <c r="D41" s="164"/>
      <c r="E41" s="164"/>
      <c r="F41" s="164"/>
      <c r="G41" s="164"/>
      <c r="H41" s="164">
        <f t="shared" si="2"/>
        <v>0</v>
      </c>
      <c r="I41" s="164"/>
      <c r="J41" s="164"/>
    </row>
    <row r="42" spans="1:10" ht="12.75">
      <c r="A42" s="327" t="s">
        <v>115</v>
      </c>
      <c r="B42" s="164"/>
      <c r="C42" s="164"/>
      <c r="D42" s="164"/>
      <c r="E42" s="164"/>
      <c r="F42" s="164"/>
      <c r="G42" s="164"/>
      <c r="H42" s="164">
        <f t="shared" si="2"/>
        <v>0</v>
      </c>
      <c r="I42" s="164"/>
      <c r="J42" s="164"/>
    </row>
    <row r="43" spans="1:10" ht="12.75">
      <c r="A43" s="327"/>
      <c r="B43" s="165"/>
      <c r="C43" s="165"/>
      <c r="D43" s="165"/>
      <c r="E43" s="165"/>
      <c r="F43" s="165"/>
      <c r="G43" s="165"/>
      <c r="H43" s="164">
        <f t="shared" si="2"/>
        <v>0</v>
      </c>
      <c r="I43" s="165"/>
      <c r="J43" s="164"/>
    </row>
    <row r="44" spans="1:12" ht="12.75">
      <c r="A44" s="327" t="s">
        <v>112</v>
      </c>
      <c r="B44" s="164">
        <v>344872</v>
      </c>
      <c r="C44" s="164">
        <v>344872</v>
      </c>
      <c r="D44" s="164">
        <v>432854</v>
      </c>
      <c r="E44" s="164">
        <v>0</v>
      </c>
      <c r="F44" s="165"/>
      <c r="G44" s="165"/>
      <c r="H44" s="164">
        <f t="shared" si="2"/>
        <v>777726</v>
      </c>
      <c r="I44" s="164">
        <v>777726</v>
      </c>
      <c r="J44" s="347">
        <v>22737</v>
      </c>
      <c r="L44" s="330"/>
    </row>
    <row r="45" spans="1:10" ht="12.75">
      <c r="A45" s="327" t="s">
        <v>504</v>
      </c>
      <c r="B45" s="171"/>
      <c r="C45" s="171"/>
      <c r="D45" s="171"/>
      <c r="E45" s="171"/>
      <c r="F45" s="171"/>
      <c r="G45" s="171"/>
      <c r="H45" s="164">
        <f t="shared" si="2"/>
        <v>0</v>
      </c>
      <c r="I45" s="171"/>
      <c r="J45" s="171"/>
    </row>
    <row r="46" spans="1:10" ht="12.75">
      <c r="A46" s="331" t="s">
        <v>540</v>
      </c>
      <c r="B46" s="172">
        <v>0</v>
      </c>
      <c r="C46" s="172">
        <v>0</v>
      </c>
      <c r="D46" s="172"/>
      <c r="E46" s="172">
        <v>0</v>
      </c>
      <c r="F46" s="172"/>
      <c r="G46" s="172"/>
      <c r="H46" s="164">
        <f t="shared" si="2"/>
        <v>0</v>
      </c>
      <c r="I46" s="172">
        <v>0</v>
      </c>
      <c r="J46" s="164">
        <v>0</v>
      </c>
    </row>
    <row r="47" spans="1:10" ht="12.75">
      <c r="A47" s="331" t="s">
        <v>535</v>
      </c>
      <c r="B47" s="172">
        <v>27</v>
      </c>
      <c r="C47" s="172">
        <v>27</v>
      </c>
      <c r="D47" s="172">
        <v>0</v>
      </c>
      <c r="E47" s="172">
        <v>0</v>
      </c>
      <c r="F47" s="172"/>
      <c r="G47" s="172"/>
      <c r="H47" s="164">
        <f t="shared" si="2"/>
        <v>27</v>
      </c>
      <c r="I47" s="172">
        <v>27</v>
      </c>
      <c r="J47" s="172"/>
    </row>
    <row r="48" spans="1:10" ht="12.75">
      <c r="A48" s="331" t="s">
        <v>533</v>
      </c>
      <c r="B48" s="172">
        <v>29650</v>
      </c>
      <c r="C48" s="172">
        <v>29650</v>
      </c>
      <c r="D48" s="172">
        <v>21543</v>
      </c>
      <c r="E48" s="172">
        <v>0</v>
      </c>
      <c r="F48" s="172"/>
      <c r="G48" s="172"/>
      <c r="H48" s="164">
        <f t="shared" si="2"/>
        <v>51193</v>
      </c>
      <c r="I48" s="172">
        <v>51193</v>
      </c>
      <c r="J48" s="172">
        <v>350</v>
      </c>
    </row>
    <row r="49" spans="1:10" ht="12.75">
      <c r="A49" s="332" t="s">
        <v>534</v>
      </c>
      <c r="B49" s="173">
        <v>68626</v>
      </c>
      <c r="C49" s="173">
        <v>68628</v>
      </c>
      <c r="D49" s="173">
        <v>44647</v>
      </c>
      <c r="E49" s="173">
        <v>0</v>
      </c>
      <c r="F49" s="173"/>
      <c r="G49" s="173"/>
      <c r="H49" s="164">
        <f t="shared" si="2"/>
        <v>113273</v>
      </c>
      <c r="I49" s="173">
        <v>113275</v>
      </c>
      <c r="J49" s="173">
        <v>8231</v>
      </c>
    </row>
    <row r="50" spans="1:10" ht="13.5" thickBot="1">
      <c r="A50" s="333" t="s">
        <v>81</v>
      </c>
      <c r="B50" s="232">
        <f aca="true" t="shared" si="3" ref="B50:J50">SUM(B28:B49)</f>
        <v>903244</v>
      </c>
      <c r="C50" s="232">
        <f t="shared" si="3"/>
        <v>903246</v>
      </c>
      <c r="D50" s="232">
        <f t="shared" si="3"/>
        <v>499044</v>
      </c>
      <c r="E50" s="233">
        <f t="shared" si="3"/>
        <v>0</v>
      </c>
      <c r="F50" s="233">
        <f t="shared" si="3"/>
        <v>0</v>
      </c>
      <c r="G50" s="233">
        <f t="shared" si="3"/>
        <v>72263</v>
      </c>
      <c r="H50" s="233">
        <f t="shared" si="3"/>
        <v>1474551</v>
      </c>
      <c r="I50" s="233">
        <f t="shared" si="3"/>
        <v>1474553</v>
      </c>
      <c r="J50" s="233">
        <f t="shared" si="3"/>
        <v>97485</v>
      </c>
    </row>
    <row r="51" spans="1:10" ht="13.5" thickTop="1">
      <c r="A51" s="316"/>
      <c r="B51" s="334"/>
      <c r="C51" s="334"/>
      <c r="D51" s="334"/>
      <c r="E51" s="334"/>
      <c r="F51" s="334"/>
      <c r="G51" s="334"/>
      <c r="H51" s="334"/>
      <c r="I51" s="334"/>
      <c r="J51" s="334"/>
    </row>
    <row r="52" spans="1:10" ht="12.75">
      <c r="A52" s="300" t="s">
        <v>549</v>
      </c>
      <c r="B52" s="279"/>
      <c r="C52" s="279"/>
      <c r="D52" s="279"/>
      <c r="E52" s="207"/>
      <c r="F52" s="207"/>
      <c r="G52" s="315"/>
      <c r="H52" s="207"/>
      <c r="I52" s="315"/>
      <c r="J52" s="207"/>
    </row>
    <row r="53" spans="1:10" ht="12.75">
      <c r="A53" s="300" t="s">
        <v>283</v>
      </c>
      <c r="B53" s="249"/>
      <c r="C53" s="249"/>
      <c r="D53" s="249"/>
      <c r="E53" s="207"/>
      <c r="F53" s="315"/>
      <c r="G53" s="207"/>
      <c r="H53" s="335"/>
      <c r="I53" s="315"/>
      <c r="J53" s="207"/>
    </row>
    <row r="54" spans="1:10" ht="12.75">
      <c r="A54" s="320"/>
      <c r="B54" s="304" t="s">
        <v>116</v>
      </c>
      <c r="C54" s="304" t="s">
        <v>116</v>
      </c>
      <c r="D54" s="304" t="s">
        <v>117</v>
      </c>
      <c r="E54" s="310"/>
      <c r="F54" s="207"/>
      <c r="G54" s="207"/>
      <c r="H54" s="207"/>
      <c r="I54" s="207"/>
      <c r="J54" s="207"/>
    </row>
    <row r="55" spans="1:10" ht="12.75">
      <c r="A55" s="336" t="s">
        <v>118</v>
      </c>
      <c r="B55" s="308" t="s">
        <v>119</v>
      </c>
      <c r="C55" s="308" t="s">
        <v>120</v>
      </c>
      <c r="D55" s="308" t="s">
        <v>121</v>
      </c>
      <c r="E55" s="310"/>
      <c r="F55" s="207"/>
      <c r="G55" s="207"/>
      <c r="H55" s="335"/>
      <c r="I55" s="207"/>
      <c r="J55" s="207"/>
    </row>
    <row r="56" spans="1:10" ht="12.75">
      <c r="A56" s="321"/>
      <c r="B56" s="308" t="s">
        <v>122</v>
      </c>
      <c r="C56" s="308" t="s">
        <v>122</v>
      </c>
      <c r="D56" s="308" t="s">
        <v>123</v>
      </c>
      <c r="E56" s="310"/>
      <c r="F56" s="207"/>
      <c r="G56" s="207"/>
      <c r="H56" s="207"/>
      <c r="I56" s="207"/>
      <c r="J56" s="207"/>
    </row>
    <row r="57" spans="1:10" ht="12.75">
      <c r="A57" s="323"/>
      <c r="B57" s="227"/>
      <c r="C57" s="227"/>
      <c r="D57" s="227" t="s">
        <v>124</v>
      </c>
      <c r="E57" s="310"/>
      <c r="F57" s="207"/>
      <c r="G57" s="207"/>
      <c r="H57" s="207"/>
      <c r="I57" s="207"/>
      <c r="J57" s="207"/>
    </row>
    <row r="58" spans="1:10" ht="12.75">
      <c r="A58" s="331" t="s">
        <v>125</v>
      </c>
      <c r="B58" s="173">
        <v>646</v>
      </c>
      <c r="C58" s="173">
        <v>387</v>
      </c>
      <c r="D58" s="173">
        <v>293</v>
      </c>
      <c r="E58" s="310"/>
      <c r="F58" s="207"/>
      <c r="G58" s="207"/>
      <c r="H58" s="207"/>
      <c r="I58" s="207"/>
      <c r="J58" s="207"/>
    </row>
    <row r="59" spans="1:10" ht="12.75">
      <c r="A59" s="327" t="s">
        <v>126</v>
      </c>
      <c r="B59" s="174"/>
      <c r="C59" s="174">
        <v>0</v>
      </c>
      <c r="D59" s="174"/>
      <c r="E59" s="207"/>
      <c r="F59" s="207"/>
      <c r="G59" s="207"/>
      <c r="H59" s="207"/>
      <c r="I59" s="207"/>
      <c r="J59" s="207"/>
    </row>
    <row r="60" spans="1:10" ht="12.75">
      <c r="A60" s="327" t="s">
        <v>127</v>
      </c>
      <c r="B60" s="165"/>
      <c r="C60" s="165"/>
      <c r="D60" s="165"/>
      <c r="E60" s="207"/>
      <c r="F60" s="207"/>
      <c r="G60" s="207"/>
      <c r="H60" s="207"/>
      <c r="I60" s="207"/>
      <c r="J60" s="207"/>
    </row>
    <row r="61" spans="1:10" ht="12.75">
      <c r="A61" s="327" t="s">
        <v>512</v>
      </c>
      <c r="B61" s="164">
        <v>0</v>
      </c>
      <c r="C61" s="164">
        <v>0</v>
      </c>
      <c r="D61" s="164">
        <v>0</v>
      </c>
      <c r="E61" s="207"/>
      <c r="F61" s="207"/>
      <c r="G61" s="207" t="s">
        <v>511</v>
      </c>
      <c r="H61" s="207"/>
      <c r="I61" s="207"/>
      <c r="J61" s="207"/>
    </row>
    <row r="62" spans="1:10" ht="12.75">
      <c r="A62" s="327" t="s">
        <v>128</v>
      </c>
      <c r="B62" s="165"/>
      <c r="C62" s="165"/>
      <c r="D62" s="165"/>
      <c r="E62" s="207"/>
      <c r="F62" s="207"/>
      <c r="G62" s="207"/>
      <c r="H62" s="207"/>
      <c r="I62" s="207"/>
      <c r="J62" s="207"/>
    </row>
    <row r="63" spans="1:10" ht="12.75">
      <c r="A63" s="327" t="s">
        <v>129</v>
      </c>
      <c r="B63" s="165"/>
      <c r="C63" s="165"/>
      <c r="D63" s="165"/>
      <c r="E63" s="335"/>
      <c r="F63" s="207"/>
      <c r="G63" s="207"/>
      <c r="H63" s="207"/>
      <c r="I63" s="207"/>
      <c r="J63" s="207"/>
    </row>
    <row r="64" spans="1:10" ht="12.75">
      <c r="A64" s="327" t="s">
        <v>513</v>
      </c>
      <c r="B64" s="164">
        <v>0</v>
      </c>
      <c r="C64" s="164">
        <v>0</v>
      </c>
      <c r="D64" s="164">
        <v>0</v>
      </c>
      <c r="E64" s="207"/>
      <c r="F64" s="207"/>
      <c r="G64" s="207"/>
      <c r="H64" s="207"/>
      <c r="I64" s="207"/>
      <c r="J64" s="207"/>
    </row>
    <row r="65" spans="1:10" ht="12.75">
      <c r="A65" s="327" t="s">
        <v>514</v>
      </c>
      <c r="B65" s="164">
        <v>0</v>
      </c>
      <c r="C65" s="164">
        <v>0</v>
      </c>
      <c r="D65" s="164">
        <v>0</v>
      </c>
      <c r="E65" s="207"/>
      <c r="F65" s="207"/>
      <c r="G65" s="207"/>
      <c r="H65" s="207"/>
      <c r="I65" s="207"/>
      <c r="J65" s="207"/>
    </row>
    <row r="66" spans="1:10" ht="13.5" thickBot="1">
      <c r="A66" s="333" t="s">
        <v>81</v>
      </c>
      <c r="B66" s="232">
        <f>SUM(B58:B65)</f>
        <v>646</v>
      </c>
      <c r="C66" s="232">
        <f>SUM(C58:C65)</f>
        <v>387</v>
      </c>
      <c r="D66" s="232">
        <f>SUM(D58:D65)</f>
        <v>293</v>
      </c>
      <c r="E66" s="207"/>
      <c r="F66" s="207"/>
      <c r="G66" s="207"/>
      <c r="H66" s="207"/>
      <c r="I66" s="207"/>
      <c r="J66" s="207"/>
    </row>
    <row r="67" spans="1:10" ht="13.5" thickTop="1">
      <c r="A67" s="318"/>
      <c r="B67" s="207"/>
      <c r="C67" s="207"/>
      <c r="D67" s="207"/>
      <c r="E67" s="207"/>
      <c r="F67" s="207"/>
      <c r="G67" s="207"/>
      <c r="H67" s="207"/>
      <c r="I67" s="207"/>
      <c r="J67" s="207"/>
    </row>
    <row r="68" spans="1:10" ht="12.75">
      <c r="A68" s="318"/>
      <c r="B68" s="207"/>
      <c r="C68" s="207"/>
      <c r="D68" s="207"/>
      <c r="E68" s="207"/>
      <c r="F68" s="207"/>
      <c r="G68" s="207"/>
      <c r="H68" s="207"/>
      <c r="I68" s="207"/>
      <c r="J68" s="207"/>
    </row>
    <row r="69" spans="1:10" ht="12.75">
      <c r="A69" s="318"/>
      <c r="B69" s="207"/>
      <c r="C69" s="207"/>
      <c r="D69" s="207"/>
      <c r="E69" s="207"/>
      <c r="F69" s="207"/>
      <c r="G69" s="207"/>
      <c r="H69" s="207"/>
      <c r="I69" s="207"/>
      <c r="J69" s="207"/>
    </row>
    <row r="70" ht="12.75">
      <c r="A70" s="242"/>
    </row>
    <row r="71" ht="12.75">
      <c r="A71" s="242"/>
    </row>
    <row r="72" ht="12.75">
      <c r="A72" s="242"/>
    </row>
    <row r="73" ht="12.75">
      <c r="A73" s="242"/>
    </row>
    <row r="74" ht="12.75">
      <c r="A74" s="242"/>
    </row>
    <row r="75" ht="12.75">
      <c r="A75" s="242"/>
    </row>
    <row r="76" ht="12.75">
      <c r="A76" s="242"/>
    </row>
    <row r="77" ht="12.75">
      <c r="A77" s="242"/>
    </row>
    <row r="78" ht="12.75">
      <c r="A78" s="242"/>
    </row>
    <row r="79" ht="12.75">
      <c r="A79" s="242"/>
    </row>
    <row r="80" ht="12.75">
      <c r="A80" s="242"/>
    </row>
    <row r="81" ht="12.75">
      <c r="A81" s="242"/>
    </row>
    <row r="82" ht="12.75">
      <c r="A82" s="242"/>
    </row>
    <row r="83" ht="12.75">
      <c r="A83" s="242"/>
    </row>
    <row r="84" ht="12.75">
      <c r="A84" s="242"/>
    </row>
    <row r="85" ht="12.75">
      <c r="A85" s="242"/>
    </row>
    <row r="86" ht="12.75">
      <c r="A86" s="242"/>
    </row>
    <row r="87" ht="12.75">
      <c r="A87" s="337"/>
    </row>
  </sheetData>
  <sheetProtection/>
  <printOptions/>
  <pageMargins left="0.2755905511811024" right="0.35433070866141736" top="0.1968503937007874" bottom="0.1968503937007874" header="0.11811023622047245" footer="0.118110236220472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Nonku Xuza</cp:lastModifiedBy>
  <cp:lastPrinted>2022-06-21T14:26:35Z</cp:lastPrinted>
  <dcterms:created xsi:type="dcterms:W3CDTF">2000-08-30T07:40:50Z</dcterms:created>
  <dcterms:modified xsi:type="dcterms:W3CDTF">2022-06-30T13:55:52Z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cb1ce086-37ed-4776-ac36-d55cc06bcb0e</vt:lpwstr>
  </property>
</Properties>
</file>